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S1pPiia3LNz8OdFuHoRN/Niu0cGsUuRwEXCYcpU6lKTSzMxU6SL64WqHegzqoV5W2YriMdTi+3vnG37Uo5tbaw==" workbookSaltValue="T8gJFO5wYL/FjjGNbmEb1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F11" i="16"/>
  <c r="BL11" i="16" s="1"/>
  <c r="T23" i="17"/>
  <c r="T26" i="17" s="1"/>
  <c r="T30" i="17" s="1"/>
  <c r="U26" i="16"/>
  <c r="BG16" i="13"/>
  <c r="BF17" i="13"/>
  <c r="E32" i="20"/>
  <c r="AM32" i="20"/>
  <c r="J32" i="20"/>
  <c r="AK32" i="20"/>
  <c r="U12" i="11"/>
  <c r="AZ32" i="20"/>
  <c r="R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W32" i="20"/>
  <c r="E23" i="12" l="1"/>
  <c r="BF17" i="8"/>
  <c r="L17" i="14"/>
  <c r="J25" i="2"/>
  <c r="F25" i="2"/>
  <c r="I13" i="14"/>
  <c r="BD17" i="13"/>
  <c r="BE17" i="13"/>
  <c r="R8" i="9"/>
  <c r="AP17" i="20"/>
  <c r="BL19" i="11"/>
  <c r="BJ22" i="11"/>
  <c r="BJ18" i="11"/>
  <c r="BG10" i="11"/>
  <c r="BM17" i="11"/>
  <c r="V11" i="16"/>
  <c r="BF21" i="11"/>
  <c r="V25" i="11"/>
  <c r="BF17" i="11"/>
  <c r="BF10" i="11"/>
  <c r="BL12" i="11"/>
  <c r="V12" i="21"/>
  <c r="BK11" i="11"/>
  <c r="AZ18" i="11"/>
  <c r="AP10" i="21"/>
  <c r="AP21" i="20"/>
  <c r="BH20" i="16"/>
  <c r="BJ11" i="11"/>
  <c r="BH22" i="16"/>
  <c r="R10" i="21"/>
  <c r="R14" i="21" s="1"/>
  <c r="BJ20" i="11"/>
  <c r="S12" i="14"/>
  <c r="V12" i="14" s="1"/>
  <c r="S17" i="14"/>
  <c r="V17" i="14" s="1"/>
  <c r="R10" i="14"/>
  <c r="R17" i="14"/>
  <c r="R29" i="14"/>
  <c r="T21" i="11"/>
  <c r="T29" i="11"/>
  <c r="S9" i="14"/>
  <c r="V9" i="14" s="1"/>
  <c r="T20" i="11"/>
  <c r="X25" i="17"/>
  <c r="AA29" i="16"/>
  <c r="X22" i="17"/>
  <c r="X10" i="17"/>
  <c r="X16" i="17"/>
  <c r="X11" i="17"/>
  <c r="X18" i="20"/>
  <c r="X20" i="20"/>
  <c r="V16" i="16"/>
  <c r="T19" i="20"/>
  <c r="X25" i="16"/>
  <c r="X30" i="16" s="1"/>
  <c r="S10" i="14"/>
  <c r="V10" i="14" s="1"/>
  <c r="S21" i="14"/>
  <c r="V21" i="14" s="1"/>
  <c r="S28" i="14"/>
  <c r="V28" i="14" s="1"/>
  <c r="R18" i="14"/>
  <c r="R28" i="14"/>
  <c r="T19" i="11"/>
  <c r="T28" i="11"/>
  <c r="S11" i="14"/>
  <c r="V11" i="14" s="1"/>
  <c r="AA25" i="16"/>
  <c r="X17" i="17"/>
  <c r="AA16" i="16"/>
  <c r="X18" i="17"/>
  <c r="X22" i="20"/>
  <c r="X17" i="20"/>
  <c r="AZ12" i="11"/>
  <c r="AZ22" i="11"/>
  <c r="L11" i="2"/>
  <c r="L19" i="2"/>
  <c r="L25" i="2"/>
  <c r="X9" i="16"/>
  <c r="X31" i="16" s="1"/>
  <c r="R13" i="17"/>
  <c r="S13" i="17" s="1"/>
  <c r="P13" i="14"/>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H16" i="2"/>
  <c r="AL11" i="11"/>
  <c r="L20" i="14"/>
  <c r="BB31" i="19"/>
  <c r="BD26" i="19"/>
  <c r="Y31" i="19"/>
  <c r="AF14" i="21"/>
  <c r="AF31" i="21" s="1"/>
  <c r="BL25" i="16"/>
  <c r="X31" i="13"/>
  <c r="U31" i="13"/>
  <c r="Q31" i="13"/>
  <c r="AZ26" i="13"/>
  <c r="BD13" i="13"/>
  <c r="BC14" i="13"/>
  <c r="C14" i="5"/>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L12" i="14"/>
  <c r="L10" i="14"/>
  <c r="E18" i="6"/>
  <c r="Y11" i="11"/>
  <c r="AP29" i="11"/>
  <c r="AP10" i="11"/>
  <c r="AP11" i="11"/>
  <c r="AP9" i="11"/>
  <c r="Y20" i="11"/>
  <c r="AC11" i="11"/>
  <c r="AC19" i="11"/>
  <c r="AC21" i="11"/>
  <c r="N21" i="11"/>
  <c r="AA26" i="11"/>
  <c r="AR14" i="21"/>
  <c r="AR14" i="11"/>
  <c r="AH31" i="8"/>
  <c r="AL31" i="8"/>
  <c r="G23" i="7"/>
  <c r="AT23" i="17"/>
  <c r="C16" i="14"/>
  <c r="K16" i="14" s="1"/>
  <c r="E26" i="14"/>
  <c r="G9" i="12"/>
  <c r="E9" i="12"/>
  <c r="Y25" i="11"/>
  <c r="Y22" i="11"/>
  <c r="AQ10" i="11"/>
  <c r="AC22" i="11"/>
  <c r="J14" i="11"/>
  <c r="E25" i="3"/>
  <c r="E18" i="3"/>
  <c r="I16" i="3"/>
  <c r="I13" i="3"/>
  <c r="J28" i="10"/>
  <c r="L28" i="10" s="1"/>
  <c r="E9" i="6"/>
  <c r="AO10" i="17"/>
  <c r="B12" i="6"/>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6" i="12"/>
  <c r="K9" i="12"/>
  <c r="T9" i="11"/>
  <c r="BH11" i="16"/>
  <c r="S20" i="14"/>
  <c r="V20" i="14" s="1"/>
  <c r="BK13" i="11"/>
  <c r="BH16" i="11"/>
  <c r="BH19" i="16"/>
  <c r="P18" i="17"/>
  <c r="BM29" i="11"/>
  <c r="BF29" i="11"/>
  <c r="BH19" i="11"/>
  <c r="BK19" i="11"/>
  <c r="BK9" i="11"/>
  <c r="BK16" i="11"/>
  <c r="BJ21" i="11"/>
  <c r="V21" i="11"/>
  <c r="BF22" i="11"/>
  <c r="BH9" i="11"/>
  <c r="BI16" i="11"/>
  <c r="BJ29" i="11"/>
  <c r="BM13" i="11"/>
  <c r="BJ12"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P16" i="17"/>
  <c r="BL20" i="11"/>
  <c r="Q20" i="11" s="1"/>
  <c r="BF12" i="11"/>
  <c r="BL16" i="11"/>
  <c r="BH25" i="16"/>
  <c r="BH21" i="11"/>
  <c r="BK20" i="11"/>
  <c r="AZ25" i="11"/>
  <c r="AZ30" i="11" s="1"/>
  <c r="BJ10" i="11"/>
  <c r="BK17" i="11"/>
  <c r="Q16" i="17"/>
  <c r="BM18" i="11"/>
  <c r="BF16" i="11"/>
  <c r="BH17" i="11"/>
  <c r="BL22" i="11"/>
  <c r="AQ12" i="21"/>
  <c r="BI22" i="11"/>
  <c r="BF11" i="11"/>
  <c r="BL9" i="11"/>
  <c r="BF19" i="11"/>
  <c r="BL18" i="11"/>
  <c r="BK12" i="11"/>
  <c r="S18" i="16"/>
  <c r="S9" i="17"/>
  <c r="BI10" i="11"/>
  <c r="BM25" i="11"/>
  <c r="V28" i="11"/>
  <c r="BI18" i="11"/>
  <c r="R25" i="14"/>
  <c r="V20" i="11"/>
  <c r="BL25" i="1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21" i="16"/>
  <c r="BH18" i="16"/>
  <c r="BJ19" i="11"/>
  <c r="BI28" i="11"/>
  <c r="BF25" i="11"/>
  <c r="AZ29" i="11"/>
  <c r="V18" i="16"/>
  <c r="BG29" i="11"/>
  <c r="Q10" i="21"/>
  <c r="BK25" i="11"/>
  <c r="BH20" i="11"/>
  <c r="BG16" i="11"/>
  <c r="BH13" i="11"/>
  <c r="BL13" i="11"/>
  <c r="Q13" i="11" s="1"/>
  <c r="BH18" i="11"/>
  <c r="BM16" i="11"/>
  <c r="AO28" i="17"/>
  <c r="BJ25" i="11"/>
  <c r="AZ16" i="11"/>
  <c r="AZ23" i="11" s="1"/>
  <c r="BU16" i="17"/>
  <c r="BW19" i="20"/>
  <c r="X20" i="16"/>
  <c r="BU10" i="17"/>
  <c r="BW25" i="20"/>
  <c r="BU22" i="17"/>
  <c r="U13" i="17"/>
  <c r="BU20" i="17"/>
  <c r="BW29" i="20"/>
  <c r="BW22" i="20"/>
  <c r="BV29" i="16"/>
  <c r="BV9" i="16"/>
  <c r="BG12" i="11"/>
  <c r="BI9" i="11"/>
  <c r="BL10" i="11"/>
  <c r="BH11" i="11"/>
  <c r="BM9" i="11"/>
  <c r="BJ17" i="11"/>
  <c r="BL17" i="11"/>
  <c r="BH22" i="11"/>
  <c r="X12" i="17"/>
  <c r="X22" i="16"/>
  <c r="L12" i="2"/>
  <c r="X10" i="21"/>
  <c r="L20" i="2"/>
  <c r="V10" i="16"/>
  <c r="V9" i="16"/>
  <c r="X13" i="16"/>
  <c r="BW21" i="20"/>
  <c r="AZ17" i="11"/>
  <c r="BI20" i="11"/>
  <c r="BL28" i="11"/>
  <c r="BH10" i="16"/>
  <c r="S18" i="17"/>
  <c r="BH12" i="16"/>
  <c r="BK22" i="11"/>
  <c r="L22" i="2"/>
  <c r="S16" i="17"/>
  <c r="S17" i="17"/>
  <c r="X19" i="16"/>
  <c r="U9" i="17"/>
  <c r="U31" i="17" s="1"/>
  <c r="AQ14" i="21"/>
  <c r="AM22" i="11"/>
  <c r="AM13" i="11"/>
  <c r="X14" i="17"/>
  <c r="AM12" i="11"/>
  <c r="AO12" i="17"/>
  <c r="AP14" i="21"/>
  <c r="AM9" i="11"/>
  <c r="AP30" i="21"/>
  <c r="AM25" i="11"/>
  <c r="BH26" i="16"/>
  <c r="AM17" i="11"/>
  <c r="AQ26" i="21"/>
  <c r="AO26" i="17"/>
  <c r="R13" i="14"/>
  <c r="X12" i="16"/>
  <c r="L29" i="2"/>
  <c r="L21" i="2"/>
  <c r="L13" i="2"/>
  <c r="AZ28" i="11"/>
  <c r="AZ20" i="11"/>
  <c r="V21" i="16"/>
  <c r="U10" i="21"/>
  <c r="AA9" i="16"/>
  <c r="AA20" i="16"/>
  <c r="X21" i="17"/>
  <c r="AA10" i="16"/>
  <c r="T17" i="11"/>
  <c r="V13" i="16"/>
  <c r="T22" i="11"/>
  <c r="T12" i="11"/>
  <c r="R22" i="14"/>
  <c r="R11" i="14"/>
  <c r="S18" i="14"/>
  <c r="V18" i="14" s="1"/>
  <c r="S13" i="14"/>
  <c r="V13" i="14" s="1"/>
  <c r="BH30" i="16"/>
  <c r="V16" i="20"/>
  <c r="V23" i="20" s="1"/>
  <c r="V19" i="16"/>
  <c r="AA12" i="21"/>
  <c r="X19" i="20"/>
  <c r="T18" i="20"/>
  <c r="X9" i="17"/>
  <c r="AA18" i="16"/>
  <c r="X13" i="17"/>
  <c r="AA17" i="16"/>
  <c r="AA28" i="16"/>
  <c r="T18" i="11"/>
  <c r="S16" i="14"/>
  <c r="V16" i="14" s="1"/>
  <c r="T11" i="11"/>
  <c r="T25" i="11"/>
  <c r="T13" i="11"/>
  <c r="R19" i="14"/>
  <c r="R12" i="14"/>
  <c r="S29" i="14"/>
  <c r="V29" i="14" s="1"/>
  <c r="V30" i="14" s="1"/>
  <c r="S19" i="14"/>
  <c r="V19" i="14" s="1"/>
  <c r="AP16" i="20"/>
  <c r="AP22" i="20"/>
  <c r="BJ16" i="11"/>
  <c r="BI19" i="11"/>
  <c r="V9" i="11"/>
  <c r="V13" i="11"/>
  <c r="BM12" i="11"/>
  <c r="BI25" i="11"/>
  <c r="V11" i="11"/>
  <c r="BK21" i="11"/>
  <c r="AZ19" i="11"/>
  <c r="BK29" i="11"/>
  <c r="BG22" i="11"/>
  <c r="BG20" i="11"/>
  <c r="BF18" i="11"/>
  <c r="BF23" i="11" s="1"/>
  <c r="BF28" i="11"/>
  <c r="Q18" i="20"/>
  <c r="Q23" i="20" s="1"/>
  <c r="BH16" i="16"/>
  <c r="BG25" i="11"/>
  <c r="BF13" i="11"/>
  <c r="V16" i="11"/>
  <c r="BH9" i="16"/>
  <c r="X12" i="2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Q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Q17" i="11"/>
  <c r="BJ23" i="11"/>
  <c r="Q9" i="11"/>
  <c r="P21" i="11"/>
  <c r="P29" i="11"/>
  <c r="BK14" i="11"/>
  <c r="P18" i="11"/>
  <c r="Q16" i="11"/>
  <c r="S23" i="16"/>
  <c r="BU33" i="17"/>
  <c r="P9" i="11"/>
  <c r="BL23" i="11"/>
  <c r="P16" i="11"/>
  <c r="P20" i="11"/>
  <c r="S31" i="16"/>
  <c r="AZ26" i="11"/>
  <c r="AZ31" i="11"/>
  <c r="AZ14" i="11"/>
  <c r="Q25" i="11"/>
  <c r="P23" i="17"/>
  <c r="P31" i="17"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<sst xmlns="http://schemas.openxmlformats.org/spreadsheetml/2006/main" count="2682" uniqueCount="1193">
  <si>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</si>
  <si>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</si>
  <si>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</si>
  <si>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</si>
  <si>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</si>
  <si>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</si>
  <si>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</si>
  <si>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</si>
  <si>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</si>
  <si>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</si>
  <si>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</si>
  <si>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</si>
  <si>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</si>
  <si>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</si>
  <si>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</si>
  <si>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</si>
  <si>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</si>
  <si>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</si>
  <si>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</si>
  <si>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</si>
  <si>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</si>
  <si>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</si>
  <si>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</si>
  <si>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</si>
  <si>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</si>
  <si>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</si>
  <si>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</si>
  <si>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</si>
  <si>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</si>
  <si>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</si>
  <si>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</si>
  <si>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</si>
  <si>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</si>
  <si>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</si>
  <si>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</si>
  <si>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</si>
  <si>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</si>
  <si>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</si>
  <si>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</si>
  <si>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</si>
  <si>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</si>
  <si>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</si>
  <si>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</si>
  <si>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</si>
  <si>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</si>
  <si>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</si>
  <si>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</si>
  <si>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</si>
  <si>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</si>
  <si>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</si>
  <si>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</si>
  <si>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</si>
  <si>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</si>
  <si>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</si>
  <si>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</si>
  <si>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</si>
  <si>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</si>
  <si>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</si>
  <si>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</si>
  <si>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</si>
  <si>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</si>
  <si>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</si>
  <si>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</si>
  <si>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</si>
  <si>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</si>
  <si>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</si>
  <si>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</si>
  <si>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</si>
  <si>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</si>
  <si>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</si>
  <si>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</si>
  <si>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</si>
  <si>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</si>
  <si>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</si>
  <si>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</si>
  <si>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</si>
  <si>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</si>
  <si>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</si>
  <si>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</si>
  <si>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</si>
  <si>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</si>
  <si>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</si>
  <si>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</si>
  <si>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</si>
  <si>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</si>
  <si>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</si>
  <si>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</si>
  <si>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</si>
  <si>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</si>
  <si>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</si>
  <si>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</si>
  <si>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</si>
  <si>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</si>
  <si>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</si>
  <si>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</si>
  <si>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</si>
  <si>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</si>
  <si>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</si>
  <si>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</si>
  <si>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</si>
  <si>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</si>
  <si>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</si>
  <si>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</si>
  <si>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</si>
  <si>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</si>
  <si>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</si>
  <si>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</si>
  <si>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</si>
  <si>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</si>
  <si>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</si>
  <si>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</si>
  <si>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</si>
  <si>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</si>
  <si>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</si>
  <si>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</si>
  <si>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</si>
  <si>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</si>
  <si>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</si>
  <si>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</si>
  <si>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</si>
  <si>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</si>
  <si>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</si>
  <si>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</si>
  <si>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</si>
  <si>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</si>
  <si>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</si>
  <si>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</si>
  <si>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</si>
  <si>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</si>
  <si>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</si>
  <si>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</si>
  <si>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</si>
  <si>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</si>
  <si>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</si>
  <si>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</si>
  <si>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</si>
  <si>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</si>
  <si>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</si>
  <si>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</si>
  <si>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</si>
  <si>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</si>
  <si>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</si>
  <si>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</si>
  <si>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</si>
  <si>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</si>
  <si>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</si>
  <si>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</si>
  <si>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</si>
  <si>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</si>
  <si>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</si>
  <si>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</si>
  <si>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</si>
  <si>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</si>
  <si>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</si>
  <si>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</si>
  <si>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</si>
  <si>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</si>
  <si>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</si>
  <si>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</si>
  <si>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</si>
  <si>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</si>
  <si>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</si>
  <si>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</si>
  <si>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</si>
  <si>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</si>
  <si>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</si>
  <si>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</si>
  <si>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</si>
  <si>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</si>
  <si>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</si>
  <si>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</si>
  <si>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</si>
  <si>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</si>
  <si>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</si>
  <si>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</si>
  <si>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</si>
  <si>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</si>
  <si>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</si>
  <si>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</si>
  <si>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</si>
  <si>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</si>
  <si>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</si>
  <si>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</si>
  <si>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</si>
  <si>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</si>
  <si>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</si>
  <si>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</si>
  <si>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</si>
  <si>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</si>
  <si>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</si>
  <si>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</si>
  <si>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</si>
  <si>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</si>
  <si>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</si>
  <si>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</si>
  <si>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</si>
  <si>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</si>
  <si>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</si>
  <si>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</si>
  <si>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</si>
  <si>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</si>
  <si>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</si>
  <si>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</si>
  <si>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</si>
  <si>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</si>
  <si>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</si>
  <si>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</si>
  <si>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</si>
  <si>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</si>
  <si>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</si>
  <si>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</si>
  <si>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</si>
  <si>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</si>
  <si>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</si>
  <si>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</si>
  <si>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</si>
  <si>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</si>
  <si>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</si>
  <si>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</si>
  <si>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</si>
  <si>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</si>
  <si>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</si>
  <si>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</si>
  <si>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</si>
  <si>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</si>
  <si>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</si>
  <si>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</si>
  <si>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</si>
  <si>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</si>
  <si>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</si>
  <si>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</si>
  <si>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</si>
  <si>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</si>
  <si>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</si>
  <si>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</si>
  <si>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</si>
  <si>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</si>
  <si>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</si>
  <si>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</si>
  <si>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</si>
  <si>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</si>
  <si>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</si>
  <si>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</si>
  <si>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</si>
  <si>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</si>
  <si>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</si>
  <si>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</si>
  <si>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</si>
  <si>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</si>
  <si>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</si>
  <si>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</si>
  <si>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</si>
  <si>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</si>
  <si>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</si>
  <si>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</si>
  <si>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</si>
  <si>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</si>
  <si>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</si>
  <si>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</si>
  <si>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</si>
  <si>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</si>
  <si>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</si>
  <si>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</si>
  <si>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</si>
  <si>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</si>
  <si>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</si>
  <si>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</si>
  <si>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</si>
  <si>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</si>
  <si>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</si>
  <si>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</si>
  <si>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</si>
  <si>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</si>
  <si>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</si>
  <si>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</si>
  <si>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</si>
  <si>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</si>
  <si>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</si>
  <si>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</si>
  <si>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</si>
  <si>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</si>
  <si>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</si>
  <si>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</si>
  <si>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</si>
  <si>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</si>
  <si>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</si>
  <si>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</si>
  <si>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</si>
  <si>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</si>
  <si>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</si>
  <si>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</si>
  <si>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</si>
  <si>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</si>
  <si>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</si>
  <si>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</si>
  <si>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</si>
  <si>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</si>
  <si>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</si>
  <si>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</si>
  <si>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</si>
  <si>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</si>
  <si>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</si>
  <si>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</si>
  <si>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</si>
  <si>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</si>
  <si>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</si>
  <si>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</si>
  <si>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</si>
  <si>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</si>
  <si>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</si>
  <si>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</si>
  <si>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</si>
  <si>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</si>
  <si>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</si>
  <si>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</si>
  <si>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</si>
  <si>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</si>
  <si>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</si>
  <si>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</si>
  <si>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</si>
  <si>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</si>
  <si>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</si>
  <si>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</si>
  <si>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</si>
  <si>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</si>
  <si>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</si>
  <si>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</si>
  <si>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</si>
  <si>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</si>
  <si>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</si>
  <si>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</si>
  <si>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</si>
  <si>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</si>
  <si>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</si>
  <si>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</si>
  <si>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</si>
  <si>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</si>
  <si>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</si>
  <si>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</si>
  <si>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</si>
  <si>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</si>
  <si>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</si>
  <si>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</si>
  <si>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</si>
  <si>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</si>
  <si>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</si>
  <si>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</si>
  <si>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</si>
  <si>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</si>
  <si>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</si>
  <si>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</si>
  <si>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</si>
  <si>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</si>
  <si>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</si>
  <si>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</si>
  <si>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</si>
  <si>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</si>
  <si>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</si>
  <si>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</si>
  <si>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</si>
  <si>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</si>
  <si>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</si>
  <si>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</si>
  <si>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</si>
  <si>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</si>
  <si>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</si>
  <si>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</si>
  <si>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</si>
  <si>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</si>
  <si>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</si>
  <si>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</si>
  <si>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</si>
  <si>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</si>
  <si>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</si>
  <si>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</si>
  <si>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</si>
  <si>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</si>
  <si>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</si>
  <si>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</si>
  <si>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</si>
  <si>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</si>
  <si>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</si>
  <si>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</si>
  <si>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</si>
  <si>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</si>
  <si>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</si>
  <si>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</si>
  <si>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</si>
  <si>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</si>
  <si>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</si>
  <si>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</si>
  <si>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</si>
  <si>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</si>
  <si>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</si>
  <si>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</si>
  <si>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</si>
  <si>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</si>
  <si>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</si>
  <si>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</si>
  <si>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</si>
  <si>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</si>
  <si>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</si>
  <si>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</si>
  <si>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</si>
  <si>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</si>
  <si>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</si>
  <si>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</si>
  <si>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</si>
  <si>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</si>
  <si>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</si>
  <si>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</si>
  <si>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</si>
  <si>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</si>
  <si>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</si>
  <si>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</si>
  <si>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</si>
  <si>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</si>
  <si>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</si>
  <si>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</si>
  <si>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</si>
  <si>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</si>
  <si>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</si>
  <si>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</si>
  <si>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</si>
  <si>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</si>
  <si>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</si>
  <si>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</si>
  <si>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</si>
  <si>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</si>
  <si>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</si>
  <si>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</si>
  <si>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</si>
  <si>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</si>
  <si>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</si>
  <si>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</si>
  <si>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</si>
  <si>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</si>
  <si>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</si>
  <si>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</si>
  <si>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</si>
  <si>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</si>
  <si>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</si>
  <si>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</si>
  <si>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</si>
  <si>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</si>
  <si>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</si>
  <si>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</si>
  <si>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</si>
  <si>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</si>
  <si>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</si>
  <si>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</si>
  <si>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</si>
  <si>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</si>
  <si>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</si>
  <si>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</si>
  <si>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</si>
  <si>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</si>
  <si>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</si>
  <si>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</si>
  <si>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</si>
  <si>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</si>
  <si>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</si>
  <si>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</si>
  <si>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</si>
  <si>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</si>
  <si>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</si>
  <si>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</si>
  <si>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</si>
  <si>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</si>
  <si>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</si>
  <si>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</si>
  <si>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</si>
  <si>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</si>
  <si>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</si>
  <si>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</si>
  <si>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</si>
  <si>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</si>
  <si>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</si>
  <si>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</si>
  <si>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</si>
  <si>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</si>
  <si>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</si>
  <si>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</si>
  <si>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</si>
  <si>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</si>
  <si>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</si>
  <si>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</si>
  <si>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</si>
  <si>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</si>
  <si>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</si>
  <si>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</si>
  <si>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</si>
  <si>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</si>
  <si>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</si>
  <si>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</si>
  <si>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</si>
  <si>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</si>
  <si>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</si>
  <si>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</si>
  <si>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</si>
  <si>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</si>
  <si>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</si>
  <si>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</si>
  <si>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</si>
  <si>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</si>
  <si>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</si>
  <si>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</si>
  <si>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</si>
  <si>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</si>
  <si>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</si>
  <si>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</si>
  <si>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</si>
  <si>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</si>
  <si>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</si>
  <si>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</si>
  <si>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</si>
  <si>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</si>
  <si>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</si>
  <si>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</si>
  <si>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</si>
  <si>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</si>
  <si>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</si>
  <si>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</si>
  <si>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</si>
  <si>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</si>
  <si>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</si>
  <si>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</si>
  <si>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</si>
  <si>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</si>
  <si>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</si>
  <si>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</si>
  <si>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</si>
  <si>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</si>
  <si>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</si>
  <si>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</si>
  <si>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</si>
  <si>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</si>
  <si>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</si>
  <si>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</si>
  <si>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</si>
  <si>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</si>
  <si>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</si>
  <si>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</si>
  <si>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</si>
  <si>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</si>
  <si>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</si>
  <si>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</si>
  <si>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</si>
  <si>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</si>
  <si>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</si>
  <si>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</si>
  <si>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</si>
  <si>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</si>
  <si>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</si>
  <si>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</si>
  <si>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</si>
  <si>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</si>
  <si>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</si>
  <si>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</si>
  <si>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</si>
  <si>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</si>
  <si>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</si>
  <si>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</si>
  <si>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</si>
  <si>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</si>
  <si>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</si>
  <si>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</si>
  <si>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</si>
  <si>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</si>
  <si>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</si>
  <si>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</si>
  <si>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</si>
  <si>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</si>
  <si>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</si>
  <si>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</si>
  <si>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</si>
  <si>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</si>
  <si>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</si>
  <si>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</si>
  <si>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</si>
  <si>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</si>
  <si>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</si>
  <si>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</si>
  <si>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</si>
  <si>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</si>
  <si>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</si>
  <si>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</si>
  <si>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</si>
  <si>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</si>
  <si>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</si>
  <si>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</si>
  <si>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</si>
  <si>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</si>
  <si>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</si>
  <si>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</si>
  <si>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</si>
  <si>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</si>
  <si>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</si>
  <si>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</si>
  <si>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</si>
  <si>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</si>
  <si>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</si>
  <si>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</si>
  <si>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</si>
  <si>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</si>
  <si>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</si>
  <si>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</si>
  <si>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</si>
  <si>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</si>
  <si>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</si>
  <si>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</si>
  <si>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</si>
  <si>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</si>
  <si>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</si>
  <si>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</si>
  <si>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</si>
  <si>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</si>
  <si>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</si>
  <si>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</si>
  <si>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</si>
  <si>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</si>
  <si>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</si>
  <si>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</si>
  <si>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</si>
  <si>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</si>
  <si>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</si>
  <si>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</si>
  <si>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</si>
  <si>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</si>
  <si>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</si>
  <si>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</si>
  <si>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</si>
  <si>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</si>
  <si>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</si>
  <si>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</si>
  <si>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</si>
  <si>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</si>
  <si>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</si>
  <si>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</si>
  <si>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</si>
  <si>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</si>
  <si>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</si>
  <si>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</si>
  <si>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</si>
  <si>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</si>
  <si>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</si>
  <si>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</si>
  <si>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</si>
  <si>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</si>
  <si>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</si>
  <si>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</si>
  <si>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</si>
  <si>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</si>
  <si>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</si>
  <si>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</si>
  <si>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</si>
  <si>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</si>
  <si>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</si>
  <si>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</si>
  <si>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</si>
  <si>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</si>
  <si>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</si>
  <si>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</si>
  <si>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</si>
  <si>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</si>
  <si>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</si>
  <si>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</si>
  <si>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</si>
  <si>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</si>
  <si>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</si>
  <si>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</si>
  <si>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</si>
  <si>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</si>
  <si>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</si>
  <si>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</si>
  <si>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</si>
  <si>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</si>
  <si>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</si>
  <si>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</si>
  <si>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</si>
  <si>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</si>
  <si>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</si>
  <si>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</si>
  <si>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</si>
  <si>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</si>
  <si>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</si>
  <si>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</si>
  <si>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</si>
  <si>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</si>
  <si>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</si>
  <si>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</si>
  <si>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</si>
  <si>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</si>
  <si>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</si>
  <si>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</si>
  <si>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</si>
  <si>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</si>
  <si>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</si>
  <si>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</si>
  <si>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</si>
  <si>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</si>
  <si>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</si>
  <si>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</si>
  <si>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</si>
  <si>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</si>
  <si>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</si>
  <si>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</si>
  <si>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</si>
  <si>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</si>
  <si>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</si>
  <si>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</si>
  <si>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</si>
  <si>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</si>
  <si>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</si>
  <si>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</si>
  <si>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</si>
  <si>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</si>
  <si>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</si>
  <si>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</si>
  <si>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</si>
  <si>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</si>
  <si>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</si>
  <si>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</si>
  <si>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</si>
  <si>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</si>
  <si>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</si>
  <si>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</si>
  <si>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</si>
  <si>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</si>
  <si>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</si>
  <si>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</si>
  <si>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</si>
  <si>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</si>
  <si>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</si>
  <si>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</si>
  <si>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</si>
  <si>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</si>
  <si>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</si>
  <si>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</si>
  <si>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</si>
  <si>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</si>
  <si>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</si>
  <si>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</si>
  <si>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</si>
  <si>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</si>
  <si>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</si>
  <si>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</si>
  <si>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</si>
  <si>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</si>
  <si>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</si>
  <si>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</si>
  <si>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</si>
  <si>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</si>
  <si>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</si>
  <si>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</si>
  <si>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</si>
  <si>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</si>
  <si>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</si>
  <si>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</si>
  <si>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</si>
  <si>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</si>
  <si>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</si>
  <si>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</si>
  <si>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</si>
  <si>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</si>
  <si>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</si>
  <si>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</si>
  <si>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</si>
  <si>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</si>
  <si>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</si>
  <si>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</si>
  <si>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</si>
  <si>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</si>
  <si>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</si>
  <si>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</si>
  <si>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</si>
  <si>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</si>
  <si>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</si>
  <si>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</si>
  <si>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</si>
  <si>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</si>
  <si>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</si>
  <si>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</si>
  <si>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</si>
  <si>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</si>
  <si>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</si>
  <si>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</si>
  <si>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</si>
  <si>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</si>
  <si>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</si>
  <si>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</si>
  <si>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</si>
  <si>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</si>
  <si>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</si>
  <si>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</si>
  <si>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</si>
  <si>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</si>
  <si>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</si>
  <si>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</si>
  <si>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</si>
  <si>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</si>
  <si>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</si>
  <si>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</si>
  <si>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</si>
  <si>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</si>
  <si>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</si>
  <si>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</si>
  <si>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</si>
  <si>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</si>
  <si>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</si>
  <si>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</si>
  <si>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</si>
  <si>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</si>
  <si>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</si>
  <si>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</si>
  <si>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</si>
  <si>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</si>
  <si>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</si>
  <si>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</si>
  <si>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</si>
  <si>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</si>
  <si>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</si>
  <si>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</si>
  <si>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</si>
  <si>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</si>
  <si>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</si>
  <si>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</si>
  <si>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</si>
  <si>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</si>
  <si>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</si>
  <si>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</si>
  <si>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</si>
  <si>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</si>
  <si>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</si>
  <si>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</si>
  <si>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</si>
  <si>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</si>
  <si>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</si>
  <si>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</si>
  <si>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</si>
  <si>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</si>
  <si>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</si>
  <si>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</si>
  <si>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</si>
  <si>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</si>
  <si>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</si>
  <si>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</si>
  <si>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</si>
  <si>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</si>
  <si>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</si>
  <si>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</si>
  <si>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</si>
  <si>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</si>
  <si>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</si>
  <si>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</si>
  <si>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</si>
  <si>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</si>
  <si>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</si>
  <si>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</si>
  <si>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</si>
  <si>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</si>
  <si>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</si>
  <si>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</si>
  <si>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</si>
  <si>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</si>
  <si>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</si>
  <si>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</si>
  <si>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</si>
  <si>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</si>
  <si>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</si>
  <si>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</si>
  <si>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</si>
  <si>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</si>
  <si>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</si>
  <si>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</si>
  <si>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</si>
  <si>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</si>
  <si>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</si>
  <si>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</si>
  <si>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</si>
  <si>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</si>
  <si>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</si>
  <si>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</si>
  <si>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</si>
  <si>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</si>
  <si>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</si>
  <si>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</si>
  <si>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</si>
  <si>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</si>
  <si>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</si>
  <si>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</si>
  <si>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</si>
  <si>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</si>
  <si>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</si>
  <si>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</si>
  <si>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</si>
  <si>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</si>
  <si>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</si>
  <si>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</si>
  <si>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</si>
  <si>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</si>
  <si>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</si>
  <si>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</si>
  <si>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</si>
  <si>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</si>
  <si>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</si>
  <si>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</si>
  <si>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</si>
  <si>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</si>
  <si>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</si>
  <si>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</si>
  <si>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</si>
  <si>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</si>
  <si>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</si>
  <si>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</si>
  <si>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</si>
  <si>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</si>
  <si>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</si>
  <si>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</si>
  <si>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</si>
  <si>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</si>
  <si>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</si>
  <si>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</si>
  <si>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</si>
  <si>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</si>
  <si>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</si>
  <si>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</si>
  <si>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</si>
  <si>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</si>
  <si>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</si>
  <si>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</si>
  <si>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</si>
  <si>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</si>
  <si>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</si>
  <si>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</si>
  <si>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</si>
  <si>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</si>
  <si>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</si>
  <si>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</si>
  <si>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</si>
  <si>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</si>
  <si>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</si>
  <si>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</si>
  <si>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</si>
  <si>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</si>
  <si>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</si>
  <si>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</si>
  <si>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</si>
  <si>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</si>
  <si>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</si>
  <si>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</si>
  <si>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</si>
  <si>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</si>
  <si>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</si>
  <si>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</si>
  <si>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</si>
  <si>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</si>
  <si>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</si>
  <si>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</si>
  <si>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</si>
  <si>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</si>
  <si>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</si>
  <si>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</si>
  <si>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</si>
  <si>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</si>
  <si>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</si>
  <si>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</si>
  <si>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</si>
  <si>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</si>
  <si>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</si>
  <si>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</si>
  <si>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</si>
  <si>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</si>
  <si>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</si>
  <si>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</si>
  <si>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</si>
  <si>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</si>
  <si>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</si>
  <si>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</si>
  <si>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</si>
  <si>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</si>
  <si>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</si>
  <si>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</si>
  <si>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</si>
  <si>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</si>
  <si>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</si>
  <si>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</si>
  <si>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</si>
  <si>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</si>
  <si>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</si>
  <si>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</si>
  <si>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</si>
  <si>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</si>
  <si>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</si>
  <si>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</si>
  <si>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</si>
  <si>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</si>
  <si>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</si>
  <si>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</si>
  <si>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</si>
  <si>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</si>
  <si>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</si>
  <si>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</si>
  <si>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</si>
  <si>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</si>
  <si>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</si>
  <si>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</si>
  <si>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</si>
  <si>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</si>
  <si>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</si>
  <si>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</si>
  <si>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</si>
  <si>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</si>
  <si>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</si>
  <si>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</si>
  <si>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</si>
  <si>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</si>
  <si>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</si>
  <si>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</si>
  <si>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</si>
  <si>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</si>
  <si>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</si>
  <si>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</si>
  <si>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</si>
  <si>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</si>
  <si>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</si>
  <si>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</si>
  <si>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</si>
  <si>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</si>
  <si>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</si>
  <si>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</si>
  <si>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</si>
  <si>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</si>
  <si>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</si>
  <si>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</si>
  <si>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</si>
  <si>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</si>
  <si>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</si>
  <si>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</si>
  <si>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</si>
  <si>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</si>
  <si>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</si>
  <si>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</si>
  <si>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</si>
  <si>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</si>
  <si>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</si>
  <si>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</si>
  <si>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</si>
  <si>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</si>
  <si>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</si>
  <si>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</si>
  <si>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</si>
  <si>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</si>
  <si>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</si>
  <si>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</si>
  <si>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</si>
  <si>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</si>
  <si>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</si>
  <si>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</si>
  <si>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</si>
  <si>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</si>
  <si>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</si>
  <si>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</si>
  <si>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</si>
  <si>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</si>
  <si>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</si>
  <si>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</si>
  <si>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</si>
  <si>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</si>
  <si>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</si>
  <si>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</si>
  <si>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</si>
  <si>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</si>
  <si>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</si>
  <si>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</si>
  <si>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</si>
  <si>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</si>
  <si>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</si>
  <si>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</si>
  <si>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</si>
  <si>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</si>
  <si>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</si>
  <si>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</si>
  <si>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</si>
  <si>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</si>
  <si>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</si>
  <si>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</si>
  <si>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</si>
  <si>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</si>
  <si>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</si>
  <si>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</si>
  <si>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</si>
  <si>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</si>
  <si>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</si>
  <si>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</si>
  <si>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</si>
  <si>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</si>
  <si>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</si>
  <si>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</si>
  <si>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</si>
  <si>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</si>
  <si>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</si>
  <si>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</si>
  <si>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</si>
  <si>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</si>
  <si>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</si>
  <si>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</si>
  <si>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</si>
  <si>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</si>
  <si>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</si>
  <si>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</si>
  <si>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</si>
  <si>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</si>
  <si>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</si>
  <si>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</si>
  <si>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</si>
  <si>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</si>
  <si>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</si>
  <si>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</si>
  <si>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</si>
  <si>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</si>
  <si>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</si>
  <si>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</si>
  <si>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</si>
  <si>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</si>
  <si>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</si>
  <si>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</si>
  <si>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</si>
  <si>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</si>
  <si>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</si>
  <si>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</si>
  <si>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</si>
  <si>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</si>
  <si>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</si>
  <si>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</si>
  <si>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</si>
  <si>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</si>
  <si>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</si>
  <si>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</si>
  <si>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</si>
  <si>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</si>
  <si>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</si>
  <si>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</si>
  <si>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</si>
  <si>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</si>
  <si>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</si>
  <si>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</si>
  <si>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</si>
  <si>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</si>
  <si>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</si>
  <si>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</si>
  <si>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</si>
  <si>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</si>
  <si>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</si>
  <si>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</si>
  <si>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</si>
  <si>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</si>
  <si>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</si>
  <si>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</si>
  <si>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</si>
  <si>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</si>
  <si>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</si>
  <si>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</si>
  <si>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</si>
  <si>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</si>
  <si>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</si>
  <si>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</si>
  <si>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</si>
  <si>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</si>
  <si>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</si>
  <si>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</si>
  <si>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</si>
  <si>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</si>
  <si>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</si>
  <si>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</si>
  <si>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</si>
  <si>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</si>
  <si>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</si>
  <si>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</si>
  <si>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</si>
  <si>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</si>
  <si>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</si>
  <si>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</si>
  <si>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</si>
  <si>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</si>
  <si>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</si>
  <si>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</si>
  <si>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</si>
  <si>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 Y LEON</t>
  </si>
  <si>
    <t>Provincias</t>
  </si>
  <si>
    <t>LEON</t>
  </si>
  <si>
    <t>Resumenes por Partidos Judiciales</t>
  </si>
  <si>
    <t>CISTIERNA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</si>
</sst>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6tG5IqHAVFNFzDUZzrJM7UqOTN2tgmbVo4BOHjfXholCnwap7qTSS6VxIDAM/2NgoagjTYG9Fv80z4rptkRnQ==" saltValue="QBSCWaCnU8nmJuDzJHrG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1</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14.418918918918918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114</v>
      </c>
      <c r="D17" s="239">
        <f>IF(ISNUMBER(IF(D_I="SI",Datos!I17,Datos!I17+Datos!AC17)),IF(D_I="SI",Datos!I17,Datos!I17+Datos!AC17)," - ")</f>
        <v>114</v>
      </c>
      <c r="E17" s="240">
        <f>IF(ISNUMBER(IF(D_I="SI",Datos!J17,Datos!J17+Datos!AD17)),IF(D_I="SI",Datos!J17,Datos!J17+Datos!AD17)," - ")</f>
        <v>84</v>
      </c>
      <c r="F17" s="240">
        <f>IF(ISNUMBER(IF(D_I="SI",Datos!K17,Datos!K17+Datos!AE17)),IF(D_I="SI",Datos!K17,Datos!K17+Datos!AE17)," - ")</f>
        <v>78</v>
      </c>
      <c r="G17" s="1390" t="str">
        <f>IF(Datos!E17&lt;&gt;"",Datos!E17,Datos!D17)</f>
        <v>04</v>
      </c>
      <c r="H17" s="241">
        <f>IF(ISNUMBER(IF(D_I="SI",Datos!L17,Datos!L17+Datos!AF17)),IF(D_I="SI",Datos!L17,Datos!L17+Datos!AF17)," - ")</f>
        <v>120</v>
      </c>
      <c r="I17" s="1400" t="str">
        <f>IF(ISNUMBER(Datos!AS17/Datos!BM17),Datos!AS17/Datos!BM17," - ")</f>
        <v xml:space="preserve"> - </v>
      </c>
      <c r="J17" s="1401">
        <f>IF(ISNUMBER(Datos!BY17/Datos!CN17),Datos!BY17/Datos!CN17," - ")</f>
        <v>0</v>
      </c>
      <c r="K17" s="244">
        <f t="shared" si="3"/>
        <v>5.2631578947368418E-2</v>
      </c>
      <c r="L17" s="1402">
        <f>IF(ISNUMBER(NºAsuntos!I17/NºAsuntos!G17),(NºAsuntos!I17/NºAsuntos!G17)*11," - ")</f>
        <v>16.923076923076923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v>
      </c>
      <c r="D18" s="239">
        <f>IF(ISNUMBER(IF(D_I="SI",Datos!I18,Datos!I18+Datos!AC18)),IF(D_I="SI",Datos!I18,Datos!I18+Datos!AC18)," - ")</f>
        <v>2</v>
      </c>
      <c r="E18" s="240">
        <f>IF(ISNUMBER(IF(D_I="SI",Datos!J18,Datos!J18+Datos!AD18)),IF(D_I="SI",Datos!J18,Datos!J18+Datos!AD18)," - ")</f>
        <v>2</v>
      </c>
      <c r="F18" s="240">
        <f>IF(ISNUMBER(IF(D_I="SI",Datos!K18,Datos!K18+Datos!AE18)),IF(D_I="SI",Datos!K18,Datos!K18+Datos!AE18)," - ")</f>
        <v>3</v>
      </c>
      <c r="G18" s="1390" t="str">
        <f>IF(Datos!E18&lt;&gt;"",Datos!E18,Datos!D18)</f>
        <v>37</v>
      </c>
      <c r="H18" s="241">
        <f>IF(ISNUMBER(IF(D_I="SI",Datos!L18,Datos!L18+Datos!AF18)),IF(D_I="SI",Datos!L18,Datos!L18+Datos!AF18)," - ")</f>
        <v>1</v>
      </c>
      <c r="I18" s="1400" t="str">
        <f>IF(ISNUMBER(Datos!AS18/Datos!BM18),Datos!AS18/Datos!BM18," - ")</f>
        <v xml:space="preserve"> - </v>
      </c>
      <c r="J18" s="1401" t="str">
        <f>IF(ISNUMBER((Datos!BY18+Datos!BZ18)/Datos!CN18),(Datos!BY18+Datos!BZ18)/Datos!CN18," - ")</f>
        <v xml:space="preserve"> - </v>
      </c>
      <c r="K18" s="244">
        <f t="shared" si="3"/>
        <v>-0.5</v>
      </c>
      <c r="L18" s="1402">
        <f>IF(ISNUMBER(NºAsuntos!I18/NºAsuntos!G18),(NºAsuntos!I18/NºAsuntos!G18)*11," - ")</f>
        <v>3.6666666666666665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116</v>
      </c>
      <c r="D23" s="1407">
        <f>SUBTOTAL(9,D16:D22)</f>
        <v>116</v>
      </c>
      <c r="E23" s="1408">
        <f>SUBTOTAL(9,E16:E22)</f>
        <v>86</v>
      </c>
      <c r="F23" s="1408">
        <f>SUBTOTAL(9,F16:F22)</f>
        <v>81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116</v>
      </c>
      <c r="D31" s="1435">
        <f>SUBTOTAL(9,D9:D30)</f>
        <v>116</v>
      </c>
      <c r="E31" s="1436">
        <f>SUBTOTAL(9,E9:E30)</f>
        <v>87</v>
      </c>
      <c r="F31" s="1436">
        <f>SUBTOTAL(9,F9:F30)</f>
        <v>81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TH59eoyGCAuTyjHNdJHKB1OwDHUaWIi7Y0QRKuZ3iYhKeOb+btzXlNeW+tJgu9+3mwrc4L6AXbp8NtAq7VmCnQ==" saltValue="dX/2LQAyqIv35DL09+/NB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cW+x/SSj0T+6PfzS7v6O0DA4SuCcataIvYHBi/fU79qPZ7BMwRFmTFve1E1xi0UqKPlduT6KLYYnMTM5l7h8Q==" saltValue="v6QRQnnBgxSSWfu3pzKA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1</v>
      </c>
      <c r="K10" s="194">
        <v>0</v>
      </c>
      <c r="L10" s="194">
        <v>1</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106</v>
      </c>
      <c r="J12" s="196">
        <v>63</v>
      </c>
      <c r="K12" s="196">
        <v>72</v>
      </c>
      <c r="L12" s="196">
        <v>97</v>
      </c>
      <c r="M12" s="196">
        <v>11</v>
      </c>
      <c r="N12" s="196">
        <v>13</v>
      </c>
      <c r="O12" s="194">
        <v>27</v>
      </c>
      <c r="P12" s="196">
        <v>16</v>
      </c>
      <c r="Q12" s="196">
        <v>29</v>
      </c>
      <c r="R12" s="196">
        <v>181</v>
      </c>
      <c r="S12" s="196">
        <v>92</v>
      </c>
      <c r="T12" s="196">
        <v>56</v>
      </c>
      <c r="U12" s="196">
        <v>57</v>
      </c>
      <c r="V12" s="196">
        <v>91</v>
      </c>
      <c r="W12" s="196">
        <v>24</v>
      </c>
      <c r="X12" s="202">
        <v>8</v>
      </c>
      <c r="Y12" s="204">
        <v>1</v>
      </c>
      <c r="Z12" s="194">
        <v>1</v>
      </c>
      <c r="AA12" s="194">
        <v>2</v>
      </c>
      <c r="AB12" s="194">
        <v>0</v>
      </c>
      <c r="AC12" s="196">
        <v>0</v>
      </c>
      <c r="AD12" s="196">
        <v>0</v>
      </c>
      <c r="AE12" s="196">
        <v>0</v>
      </c>
      <c r="AF12" s="202">
        <v>0</v>
      </c>
      <c r="AG12" s="215">
        <v>6</v>
      </c>
      <c r="AH12" s="196">
        <v>3</v>
      </c>
      <c r="AI12" s="196">
        <v>4</v>
      </c>
      <c r="AJ12" s="216">
        <v>5</v>
      </c>
      <c r="AK12" s="195">
        <v>0</v>
      </c>
      <c r="AL12" s="196">
        <v>0</v>
      </c>
      <c r="AM12" s="196">
        <v>0</v>
      </c>
      <c r="AN12" s="202">
        <v>0</v>
      </c>
      <c r="AO12" s="283">
        <v>1</v>
      </c>
      <c r="AP12" s="168">
        <v>1</v>
      </c>
      <c r="AQ12" s="168">
        <v>1</v>
      </c>
      <c r="AR12" s="167">
        <v>1</v>
      </c>
      <c r="AS12" s="381" t="s">
        <v>1075</v>
      </c>
      <c r="AT12" s="216"/>
      <c r="AU12" s="215"/>
      <c r="AV12" s="216"/>
      <c r="AW12" s="215"/>
      <c r="AX12" s="216"/>
      <c r="AY12" s="136">
        <f t="shared" si="1"/>
        <v>98</v>
      </c>
      <c r="AZ12" s="137">
        <f t="shared" si="1"/>
        <v>59</v>
      </c>
      <c r="BA12" s="137">
        <f t="shared" si="1"/>
        <v>61</v>
      </c>
      <c r="BB12" s="137">
        <f t="shared" si="1"/>
        <v>96</v>
      </c>
      <c r="BC12" s="135">
        <f>IF(ISNUMBER(X12),X12," - ")</f>
        <v>8</v>
      </c>
      <c r="BD12" s="136">
        <f t="shared" si="2"/>
        <v>1.0338983050847457</v>
      </c>
      <c r="BE12" s="137">
        <f t="shared" si="3"/>
        <v>1.5737704918032787</v>
      </c>
      <c r="BF12" s="137">
        <f t="shared" si="4"/>
        <v>0.13114754098360656</v>
      </c>
      <c r="BG12" s="209">
        <f t="shared" si="5"/>
        <v>2.5737704918032787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106</v>
      </c>
      <c r="J14" s="197">
        <f t="shared" si="7"/>
        <v>64</v>
      </c>
      <c r="K14" s="197">
        <f t="shared" si="7"/>
        <v>72</v>
      </c>
      <c r="L14" s="197">
        <f t="shared" si="7"/>
        <v>98</v>
      </c>
      <c r="M14" s="197">
        <f t="shared" si="7"/>
        <v>11</v>
      </c>
      <c r="N14" s="197">
        <f t="shared" si="7"/>
        <v>13</v>
      </c>
      <c r="O14" s="197">
        <f t="shared" si="7"/>
        <v>27</v>
      </c>
      <c r="P14" s="197">
        <f t="shared" si="7"/>
        <v>16</v>
      </c>
      <c r="Q14" s="197">
        <f t="shared" si="7"/>
        <v>29</v>
      </c>
      <c r="R14" s="197">
        <f t="shared" si="7"/>
        <v>181</v>
      </c>
      <c r="S14" s="197">
        <f t="shared" si="7"/>
        <v>92</v>
      </c>
      <c r="T14" s="197">
        <f t="shared" si="7"/>
        <v>56</v>
      </c>
      <c r="U14" s="197">
        <f t="shared" si="7"/>
        <v>57</v>
      </c>
      <c r="V14" s="197">
        <f t="shared" si="7"/>
        <v>91</v>
      </c>
      <c r="W14" s="197">
        <f t="shared" si="7"/>
        <v>24</v>
      </c>
      <c r="X14" s="197">
        <f t="shared" si="7"/>
        <v>8</v>
      </c>
      <c r="Y14" s="197">
        <f t="shared" si="7"/>
        <v>1</v>
      </c>
      <c r="Z14" s="197">
        <f t="shared" si="7"/>
        <v>1</v>
      </c>
      <c r="AA14" s="197">
        <f t="shared" si="7"/>
        <v>2</v>
      </c>
      <c r="AB14" s="197">
        <f t="shared" si="7"/>
        <v>0</v>
      </c>
      <c r="AC14" s="197">
        <f t="shared" si="7"/>
        <v>0</v>
      </c>
      <c r="AD14" s="197">
        <f t="shared" si="7"/>
        <v>0</v>
      </c>
      <c r="AE14" s="197">
        <f t="shared" si="7"/>
        <v>0</v>
      </c>
      <c r="AF14" s="197">
        <f>SUBTOTAL(9,AF9:AF13)</f>
        <v>0</v>
      </c>
      <c r="AG14" s="197">
        <f t="shared" ref="AG14:AT14" si="8">SUBTOTAL(9,AG8:AG13)</f>
        <v>6</v>
      </c>
      <c r="AH14" s="197">
        <f t="shared" si="8"/>
        <v>3</v>
      </c>
      <c r="AI14" s="197">
        <f t="shared" si="8"/>
        <v>4</v>
      </c>
      <c r="AJ14" s="197">
        <f t="shared" si="8"/>
        <v>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98</v>
      </c>
      <c r="AZ14" s="197">
        <f>SUBTOTAL(9,AZ8:AZ13)</f>
        <v>59</v>
      </c>
      <c r="BA14" s="197">
        <f>SUBTOTAL(9,BA8:BA13)</f>
        <v>61</v>
      </c>
      <c r="BB14" s="197">
        <f>SUBTOTAL(9,BB8:BB13)</f>
        <v>96</v>
      </c>
      <c r="BC14" s="197">
        <f>SUBTOTAL(9,BC8:BC13)</f>
        <v>8</v>
      </c>
      <c r="BD14" s="219">
        <f>IF(ISNUMBER(BA14/AZ14),BA14/AZ14," - ")</f>
        <v>1.0338983050847457</v>
      </c>
      <c r="BE14" s="220">
        <f>IF(ISNUMBER(BB14/BA14),BB14/BA14, " - ")</f>
        <v>1.5737704918032787</v>
      </c>
      <c r="BF14" s="220">
        <f>IF(ISNUMBER(BC14/BA14),BC14/BA14, " - ")</f>
        <v>0.13114754098360656</v>
      </c>
      <c r="BG14" s="221">
        <f>IF(ISNUMBER((AY14+AZ14)/BA14),(AY14+AZ14)/BA14," - ")</f>
        <v>2.5737704918032787</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114</v>
      </c>
      <c r="J17" s="196">
        <v>84</v>
      </c>
      <c r="K17" s="196">
        <v>78</v>
      </c>
      <c r="L17" s="196">
        <v>120</v>
      </c>
      <c r="M17" s="196">
        <v>8</v>
      </c>
      <c r="N17" s="196">
        <v>24</v>
      </c>
      <c r="O17" s="194">
        <v>0</v>
      </c>
      <c r="P17" s="196">
        <v>1</v>
      </c>
      <c r="Q17" s="196">
        <v>5</v>
      </c>
      <c r="R17" s="196">
        <v>18</v>
      </c>
      <c r="S17" s="196">
        <v>101</v>
      </c>
      <c r="T17" s="196">
        <v>51</v>
      </c>
      <c r="U17" s="196">
        <v>40</v>
      </c>
      <c r="V17" s="196">
        <v>112</v>
      </c>
      <c r="W17" s="196">
        <v>14</v>
      </c>
      <c r="X17" s="202">
        <v>22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101</v>
      </c>
      <c r="AZ17" s="137">
        <f t="shared" si="10"/>
        <v>51</v>
      </c>
      <c r="BA17" s="137">
        <f t="shared" si="10"/>
        <v>40</v>
      </c>
      <c r="BB17" s="137">
        <f t="shared" si="10"/>
        <v>112</v>
      </c>
      <c r="BC17" s="135">
        <f>IF(ISNUMBER(W17),W17," - ")</f>
        <v>14</v>
      </c>
      <c r="BD17" s="136">
        <f t="shared" ref="BD17:BD22" si="12">IF(ISNUMBER(BA17/AZ17),BA17/AZ17," - ")</f>
        <v>0.78431372549019607</v>
      </c>
      <c r="BE17" s="137">
        <f t="shared" ref="BE17:BE22" si="13">IF(ISNUMBER(BB17/BA17),BB17/BA17, " - ")</f>
        <v>2.8</v>
      </c>
      <c r="BF17" s="137">
        <f t="shared" ref="BF17:BF22" si="14">IF(ISNUMBER(BC17/BA17),BC17/BA17, " - ")</f>
        <v>0.35</v>
      </c>
      <c r="BG17" s="209">
        <f t="shared" si="11"/>
        <v>3.8</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v>
      </c>
      <c r="J18" s="196">
        <v>2</v>
      </c>
      <c r="K18" s="196">
        <v>3</v>
      </c>
      <c r="L18" s="196">
        <v>1</v>
      </c>
      <c r="M18" s="196">
        <v>0</v>
      </c>
      <c r="N18" s="196">
        <v>2</v>
      </c>
      <c r="O18" s="196">
        <v>0</v>
      </c>
      <c r="P18" s="196">
        <v>0</v>
      </c>
      <c r="Q18" s="196">
        <v>0</v>
      </c>
      <c r="R18" s="196">
        <v>0</v>
      </c>
      <c r="S18" s="196">
        <v>2</v>
      </c>
      <c r="T18" s="196">
        <v>2</v>
      </c>
      <c r="U18" s="196">
        <v>0</v>
      </c>
      <c r="V18" s="196">
        <v>4</v>
      </c>
      <c r="W18" s="196">
        <v>0</v>
      </c>
      <c r="X18" s="202">
        <v>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v>
      </c>
      <c r="AZ18" s="139">
        <f t="shared" si="15"/>
        <v>2</v>
      </c>
      <c r="BA18" s="139">
        <f t="shared" si="15"/>
        <v>0</v>
      </c>
      <c r="BB18" s="139">
        <f t="shared" si="15"/>
        <v>4</v>
      </c>
      <c r="BC18" s="135">
        <f>IF(ISNUMBER(W18),W18," - ")</f>
        <v>0</v>
      </c>
      <c r="BD18" s="136">
        <f>IF(ISNUMBER(BA18/AZ18),BA18/AZ18," - ")</f>
        <v>0</v>
      </c>
      <c r="BE18" s="137" t="str">
        <f>IF(ISNUMBER(BB18/BA18),BB18/BA18, " - ")</f>
        <v xml:space="preserve"> - </v>
      </c>
      <c r="BF18" s="137" t="str">
        <f>IF(ISNUMBER(BC18/BA18),BC18/BA18, " - ")</f>
        <v xml:space="preserve"> - </v>
      </c>
      <c r="BG18" s="209" t="str">
        <f>IF(ISNUMBER((AY18+AZ18)/BA18),(AY18+AZ18)/BA18," - ")</f>
        <v xml:space="preserve"> - </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116</v>
      </c>
      <c r="J23" s="197">
        <f t="shared" si="21"/>
        <v>86</v>
      </c>
      <c r="K23" s="197">
        <f t="shared" si="21"/>
        <v>81</v>
      </c>
      <c r="L23" s="197">
        <f t="shared" si="21"/>
        <v>121</v>
      </c>
      <c r="M23" s="197">
        <f t="shared" si="21"/>
        <v>8</v>
      </c>
      <c r="N23" s="197">
        <f t="shared" si="21"/>
        <v>26</v>
      </c>
      <c r="O23" s="197">
        <f t="shared" si="21"/>
        <v>0</v>
      </c>
      <c r="P23" s="197">
        <f t="shared" si="21"/>
        <v>1</v>
      </c>
      <c r="Q23" s="197">
        <f t="shared" si="21"/>
        <v>5</v>
      </c>
      <c r="R23" s="197">
        <f t="shared" si="21"/>
        <v>18</v>
      </c>
      <c r="S23" s="197">
        <f t="shared" si="21"/>
        <v>103</v>
      </c>
      <c r="T23" s="197">
        <f t="shared" si="21"/>
        <v>53</v>
      </c>
      <c r="U23" s="197">
        <f t="shared" si="21"/>
        <v>40</v>
      </c>
      <c r="V23" s="197">
        <f t="shared" si="21"/>
        <v>116</v>
      </c>
      <c r="W23" s="197">
        <f t="shared" si="21"/>
        <v>14</v>
      </c>
      <c r="X23" s="197">
        <f t="shared" si="21"/>
        <v>24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103</v>
      </c>
      <c r="AZ23" s="197">
        <f>SUBTOTAL(9,AZ15:AZ22)</f>
        <v>53</v>
      </c>
      <c r="BA23" s="197">
        <f>SUBTOTAL(9,BA15:BA22)</f>
        <v>40</v>
      </c>
      <c r="BB23" s="197">
        <f>SUBTOTAL(9,BB15:BB22)</f>
        <v>116</v>
      </c>
      <c r="BC23" s="197">
        <f>SUBTOTAL(9,BC15:BC22)</f>
        <v>14</v>
      </c>
      <c r="BD23" s="219">
        <f>IF(ISNUMBER(BA23/AZ23),BA23/AZ23," - ")</f>
        <v>0.75471698113207553</v>
      </c>
      <c r="BE23" s="220">
        <f>IF(ISNUMBER(BB23/BA23),BB23/BA23, " - ")</f>
        <v>2.9</v>
      </c>
      <c r="BF23" s="220">
        <f>IF(ISNUMBER(BC23/BA23),BC23/BA23, " - ")</f>
        <v>0.35</v>
      </c>
      <c r="BG23" s="221">
        <f>IF(ISNUMBER((AY23+AZ23)/BA23),(AY23+AZ23)/BA23," - ")</f>
        <v>3.9</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222</v>
      </c>
      <c r="J31" s="144">
        <f t="shared" si="36"/>
        <v>150</v>
      </c>
      <c r="K31" s="144">
        <f t="shared" si="36"/>
        <v>153</v>
      </c>
      <c r="L31" s="144">
        <f t="shared" si="36"/>
        <v>219</v>
      </c>
      <c r="M31" s="144">
        <f t="shared" si="36"/>
        <v>19</v>
      </c>
      <c r="N31" s="144">
        <f t="shared" si="36"/>
        <v>39</v>
      </c>
      <c r="O31" s="144">
        <f t="shared" si="36"/>
        <v>27</v>
      </c>
      <c r="P31" s="144">
        <f t="shared" si="36"/>
        <v>17</v>
      </c>
      <c r="Q31" s="144">
        <f t="shared" si="36"/>
        <v>34</v>
      </c>
      <c r="R31" s="144">
        <f t="shared" si="36"/>
        <v>199</v>
      </c>
      <c r="S31" s="144">
        <f t="shared" si="36"/>
        <v>195</v>
      </c>
      <c r="T31" s="144">
        <f t="shared" si="36"/>
        <v>109</v>
      </c>
      <c r="U31" s="144">
        <f t="shared" si="36"/>
        <v>97</v>
      </c>
      <c r="V31" s="144">
        <f t="shared" si="36"/>
        <v>207</v>
      </c>
      <c r="W31" s="144">
        <f t="shared" si="36"/>
        <v>38</v>
      </c>
      <c r="X31" s="144">
        <f t="shared" si="36"/>
        <v>32</v>
      </c>
      <c r="Y31" s="144">
        <f t="shared" si="36"/>
        <v>1</v>
      </c>
      <c r="Z31" s="144">
        <f t="shared" si="36"/>
        <v>1</v>
      </c>
      <c r="AA31" s="144">
        <f t="shared" si="36"/>
        <v>2</v>
      </c>
      <c r="AB31" s="144">
        <f t="shared" si="36"/>
        <v>0</v>
      </c>
      <c r="AC31" s="144">
        <f t="shared" si="36"/>
        <v>0</v>
      </c>
      <c r="AD31" s="144">
        <f t="shared" si="36"/>
        <v>0</v>
      </c>
      <c r="AE31" s="144">
        <f t="shared" si="36"/>
        <v>0</v>
      </c>
      <c r="AF31" s="144">
        <f t="shared" si="36"/>
        <v>0</v>
      </c>
      <c r="AG31" s="144">
        <f t="shared" si="36"/>
        <v>6</v>
      </c>
      <c r="AH31" s="144">
        <f t="shared" si="36"/>
        <v>3</v>
      </c>
      <c r="AI31" s="144">
        <f t="shared" si="36"/>
        <v>4</v>
      </c>
      <c r="AJ31" s="144">
        <f t="shared" si="36"/>
        <v>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201</v>
      </c>
      <c r="AZ31" s="144">
        <f>SUBTOTAL(9,AZ9:AZ30)</f>
        <v>112</v>
      </c>
      <c r="BA31" s="144">
        <f>SUBTOTAL(9,BA9:BA30)</f>
        <v>101</v>
      </c>
      <c r="BB31" s="144">
        <f>SUBTOTAL(9,BB9:BB30)</f>
        <v>212</v>
      </c>
      <c r="BC31" s="145">
        <f>SUBTOTAL(9,BC9:BC30)</f>
        <v>22</v>
      </c>
      <c r="BD31" s="227">
        <f>IF(ISNUMBER(BA31/AZ31),BA31/AZ31," - ")</f>
        <v>0.9017857142857143</v>
      </c>
      <c r="BE31" s="224">
        <f>IF(ISNUMBER(BB31/BA31),BB31/BA31, " - ")</f>
        <v>2.0990099009900991</v>
      </c>
      <c r="BF31" s="224">
        <f>IF(ISNUMBER(BC31/BA31),BC31/BA31, " - ")</f>
        <v>0.21782178217821782</v>
      </c>
      <c r="BG31" s="145">
        <f>IF(ISNUMBER((AY31+AZ31)/BA31),(AY31+AZ31)/BA31," - ")</f>
        <v>3.0990099009900991</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qKNk+e7GEa938uQvBkZ49RBI8WxpxFjOnDkkofEzbRR0Ta5BCsm8RbokTTdsMPC/5F1e6zDk4Y7TTMVQBBM0Q==" saltValue="uRfmadDpR/UWB7Ktqz2W4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eo6tSKE+JdWQfk5dufA6Lc5kIBdBTQGngqSlt4xjekXos8Azgt1xiHPP5tqwJLR5TOeUYmhAifsrLTDJUuVnQ==" saltValue="KmoPZh0Wz7m93X+NyECEJ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CISTIERNA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v>
      </c>
      <c r="O12" s="549"/>
      <c r="P12" s="549"/>
      <c r="Q12" s="547">
        <f>IF(ISNUMBER(Datos!P12),Datos!P12,0)</f>
        <v>16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181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v>
      </c>
      <c r="BD12" s="693">
        <f>IF(ISNUMBER(Datos!N12),Datos!N12," - ")</f>
        <v>13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1.15625</v>
      </c>
      <c r="BH12" s="764">
        <f>IF(ISNUMBER(((IF(J_V="SI",Datos!L12/Datos!K12,(Datos!L12+Datos!AB12)/(Datos!K12+Datos!AA12)))*11)/factor_trimestre),((IF(J_V="SI",Datos!L12/Datos!K12,(Datos!L12+Datos!AB12)/(Datos!K12+Datos!AA12)))*11)/factor_trimestre," - ")</f>
        <v>2.6216216216216215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-6.7010309278350513E-2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v>
      </c>
      <c r="O14" s="1199">
        <f t="shared" si="1"/>
        <v>0</v>
      </c>
      <c r="P14" s="1199">
        <f t="shared" si="1"/>
        <v>0</v>
      </c>
      <c r="Q14" s="1198">
        <f t="shared" si="1"/>
        <v>16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29</v>
      </c>
      <c r="AD14" s="1198">
        <f t="shared" si="2"/>
        <v>0</v>
      </c>
      <c r="AE14" s="1198">
        <f t="shared" si="2"/>
        <v>0</v>
      </c>
      <c r="AF14" s="1198">
        <f t="shared" si="2"/>
        <v>1</v>
      </c>
      <c r="AG14" s="1198">
        <f t="shared" si="2"/>
        <v>0</v>
      </c>
      <c r="AH14" s="1198">
        <f t="shared" si="2"/>
        <v>0</v>
      </c>
      <c r="AI14" s="1198">
        <f t="shared" si="2"/>
        <v>0</v>
      </c>
      <c r="AJ14" s="1198">
        <f t="shared" si="2"/>
        <v>0</v>
      </c>
      <c r="AK14" s="1198">
        <f t="shared" si="2"/>
        <v>0</v>
      </c>
      <c r="AL14" s="1198">
        <f t="shared" si="2"/>
        <v>0</v>
      </c>
      <c r="AM14" s="1198">
        <f t="shared" si="2"/>
        <v>181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v>
      </c>
      <c r="BD14" s="1198">
        <f t="shared" si="2"/>
        <v>13</v>
      </c>
      <c r="BE14" s="1198">
        <f t="shared" si="2"/>
        <v>0</v>
      </c>
      <c r="BF14" s="1198">
        <f t="shared" si="2"/>
        <v>0</v>
      </c>
      <c r="BG14" s="1198">
        <f>IF(ISNUMBER(Datos!K14/Datos!J14),Datos!K14/Datos!J14," - ")</f>
        <v>1.125</v>
      </c>
      <c r="BH14" s="1202">
        <f>IF(ISNUMBER(((Datos!L14/Datos!K14)*11)/factor_trimestre),((Datos!L14/Datos!K14)*11)/factor_trimestre," - ")</f>
        <v>2.7222222222222223</v>
      </c>
      <c r="BI14" s="1198">
        <f>IF(ISNUMBER('Resol  Asuntos'!D14/NºAsuntos!G14),'Resol  Asuntos'!D14/NºAsuntos!G14," - ")</f>
        <v>0.14864864864864866</v>
      </c>
      <c r="BJ14" s="1198" t="str">
        <f>IF(ISNUMBER(Datos!CI14/Datos!CJ14),Datos!CI14/Datos!CJ14," - ")</f>
        <v xml:space="preserve"> - </v>
      </c>
      <c r="BK14" s="1198">
        <f>SUBTOTAL(9,BK8:BK13)</f>
        <v>0</v>
      </c>
      <c r="BL14" s="1198" t="str">
        <f>IF(ISNUMBER((I14-AB14+L14)/(F14)),(I14-AB14+L14)/(F14)," - ")</f>
        <v xml:space="preserve"> - </v>
      </c>
      <c r="BM14" s="1203">
        <f>SUBTOTAL(9,BM9:BM13)</f>
        <v>-6.7010309278350513E-2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114</v>
      </c>
      <c r="G17" s="743">
        <f>IF(ISNUMBER(IF(D_I="SI",Datos!I17,Datos!I17+Datos!AC17)),IF(D_I="SI",Datos!I17,Datos!I17+Datos!AC17)," - ")</f>
        <v>114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78</v>
      </c>
      <c r="AC17" s="240">
        <f>IF(ISNUMBER(Datos!Q17),Datos!Q17," - ")</f>
        <v>5</v>
      </c>
      <c r="AD17" s="374"/>
      <c r="AE17" s="562"/>
      <c r="AF17" s="741">
        <f>IF(ISNUMBER(IF(D_I="SI",Datos!L17,Datos!L17+Datos!AF17)),IF(D_I="SI",Datos!L17,Datos!L17+Datos!AF17)," - ")</f>
        <v>120</v>
      </c>
      <c r="AG17" s="374"/>
      <c r="AH17" s="374"/>
      <c r="AI17" s="374"/>
      <c r="AJ17" s="549"/>
      <c r="AK17" s="374"/>
      <c r="AL17" s="545"/>
      <c r="AM17" s="375">
        <f>IF(ISNUMBER(Datos!R17),Datos!R17," - ")</f>
        <v>18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v>
      </c>
      <c r="BD17" s="243">
        <f>IF(ISNUMBER(Datos!N17),Datos!N17," - ")</f>
        <v>24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0.9285714285714286</v>
      </c>
      <c r="BH17" s="764">
        <f>IF(ISNUMBER(((IF(D_I="SI",Datos!L17/Datos!K17,(Datos!L17+Datos!AF17)/(Datos!K17+Datos!AE17)))*11)/factor_trimestre),((IF(D_I="SI",Datos!L17/Datos!K17,(Datos!L17+Datos!AF17)/(Datos!K17+Datos!AE17)))*11)/factor_trimestre," - ")</f>
        <v>3.0769230769230771</v>
      </c>
      <c r="BI17" s="266">
        <f>IF(ISNUMBER('Resol  Asuntos'!D17/NºAsuntos!G17),'Resol  Asuntos'!D17/NºAsuntos!G17," - ")</f>
        <v>0.10256410256410256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v>
      </c>
      <c r="AC18" s="547">
        <f>IF(ISNUMBER(Datos!Q18),Datos!Q18," - ")</f>
        <v>0</v>
      </c>
      <c r="AD18" s="549"/>
      <c r="AE18" s="562"/>
      <c r="AF18" s="551">
        <f>IF(ISNUMBER(Datos!L18),Datos!L18,"-")</f>
        <v>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1.5</v>
      </c>
      <c r="BH18" s="764">
        <f>IF(ISNUMBER(((IF(D_I="SI",Datos!L18/Datos!K18,(Datos!L18+Datos!AF18)/(Datos!K18+Datos!AE18)))*11)/factor_trimestre),((IF(D_I="SI",Datos!L18/Datos!K18,(Datos!L18+Datos!AF18)/(Datos!K18+Datos!AE18)))*11)/factor_trimestre," - ")</f>
        <v>0.66666666666666663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114</v>
      </c>
      <c r="G23" s="1197">
        <f>SUBTOTAL(9,G16:G22)</f>
        <v>116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81</v>
      </c>
      <c r="AC23" s="1198">
        <f t="shared" si="5"/>
        <v>5</v>
      </c>
      <c r="AD23" s="1198">
        <f t="shared" si="5"/>
        <v>0</v>
      </c>
      <c r="AE23" s="1198">
        <f t="shared" si="5"/>
        <v>0</v>
      </c>
      <c r="AF23" s="1198">
        <f t="shared" si="5"/>
        <v>121</v>
      </c>
      <c r="AG23" s="1198">
        <f t="shared" si="5"/>
        <v>0</v>
      </c>
      <c r="AH23" s="1198">
        <f t="shared" si="5"/>
        <v>0</v>
      </c>
      <c r="AI23" s="1198">
        <f t="shared" si="5"/>
        <v>0</v>
      </c>
      <c r="AJ23" s="1198">
        <f t="shared" si="5"/>
        <v>0</v>
      </c>
      <c r="AK23" s="1198">
        <f t="shared" si="5"/>
        <v>0</v>
      </c>
      <c r="AL23" s="1198">
        <f t="shared" si="5"/>
        <v>0</v>
      </c>
      <c r="AM23" s="1198">
        <f t="shared" si="5"/>
        <v>18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v>
      </c>
      <c r="BD23" s="1198">
        <f t="shared" si="5"/>
        <v>26</v>
      </c>
      <c r="BE23" s="1198">
        <f t="shared" si="5"/>
        <v>0</v>
      </c>
      <c r="BF23" s="1198">
        <f t="shared" si="5"/>
        <v>0</v>
      </c>
      <c r="BG23" s="1198">
        <f>IF(ISNUMBER(Datos!K23/Datos!J23),Datos!K23/Datos!J23," - ")</f>
        <v>0.94186046511627908</v>
      </c>
      <c r="BH23" s="1202">
        <f>IF(ISNUMBER(((Datos!L23/Datos!K23)*11)/factor_trimestre),((Datos!L23/Datos!K23)*11)/factor_trimestre," - ")</f>
        <v>2.9876543209876543</v>
      </c>
      <c r="BI23" s="1198">
        <f>SUBTOTAL(9,BI16:BI22)</f>
        <v>0.10256410256410256</v>
      </c>
      <c r="BJ23" s="1198">
        <f>SUBTOTAL(9,BJ16:BJ22)</f>
        <v>0</v>
      </c>
      <c r="BK23" s="1198">
        <f>SUBTOTAL(9,BK16:BK22)</f>
        <v>0</v>
      </c>
      <c r="BL23" s="1198">
        <f>IF(ISNUMBER((I23-AB23+L23)/(F23)),(I23-AB23+L23)/(F23)," - ")</f>
        <v>-0.71052631578947367</v>
      </c>
      <c r="BM23" s="1205">
        <f>IF(ISNUMBER((Datos!P23-Datos!Q23)/(Datos!R23-Datos!P23+Datos!Q23)),(Datos!P23-Datos!Q23)/(Datos!R23-Datos!P23+Datos!Q23)," - ")</f>
        <v>-0.18181818181818182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114</v>
      </c>
      <c r="G31" s="1117">
        <f t="shared" si="18"/>
        <v>116</v>
      </c>
      <c r="H31" s="1119">
        <f t="shared" si="18"/>
        <v>0</v>
      </c>
      <c r="I31" s="1117">
        <f t="shared" si="18"/>
        <v>0</v>
      </c>
      <c r="J31" s="1119">
        <f t="shared" si="18"/>
        <v>0</v>
      </c>
      <c r="K31" s="1119">
        <f t="shared" si="18"/>
        <v>0</v>
      </c>
      <c r="L31" s="1180">
        <f t="shared" si="18"/>
        <v>0</v>
      </c>
      <c r="M31" s="1180">
        <f t="shared" si="18"/>
        <v>0</v>
      </c>
      <c r="N31" s="1180">
        <f t="shared" si="18"/>
        <v>1</v>
      </c>
      <c r="O31" s="1180">
        <f t="shared" si="18"/>
        <v>0</v>
      </c>
      <c r="P31" s="1180">
        <f t="shared" si="18"/>
        <v>0</v>
      </c>
      <c r="Q31" s="1119">
        <f t="shared" si="18"/>
        <v>17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81</v>
      </c>
      <c r="AC31" s="1118">
        <f t="shared" si="19"/>
        <v>34</v>
      </c>
      <c r="AD31" s="1118">
        <f t="shared" si="19"/>
        <v>0</v>
      </c>
      <c r="AE31" s="1118">
        <f t="shared" si="19"/>
        <v>0</v>
      </c>
      <c r="AF31" s="1125">
        <f t="shared" si="19"/>
        <v>122</v>
      </c>
      <c r="AG31" s="1125">
        <f t="shared" si="19"/>
        <v>0</v>
      </c>
      <c r="AH31" s="1125">
        <f t="shared" si="19"/>
        <v>0</v>
      </c>
      <c r="AI31" s="1125">
        <f t="shared" si="19"/>
        <v>0</v>
      </c>
      <c r="AJ31" s="1118">
        <f t="shared" si="19"/>
        <v>0</v>
      </c>
      <c r="AK31" s="1125">
        <f t="shared" si="19"/>
        <v>0</v>
      </c>
      <c r="AL31" s="1125">
        <f t="shared" si="19"/>
        <v>0</v>
      </c>
      <c r="AM31" s="1125">
        <f t="shared" si="19"/>
        <v>199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19</v>
      </c>
      <c r="BD31" s="1117">
        <f t="shared" si="19"/>
        <v>39</v>
      </c>
      <c r="BE31" s="1117">
        <f t="shared" si="19"/>
        <v>0</v>
      </c>
      <c r="BF31" s="1127">
        <f t="shared" si="19"/>
        <v>0</v>
      </c>
      <c r="BG31" s="1223">
        <f>IF(ISNUMBER(Datos!K31/Datos!J31),Datos!K31/Datos!J31," - ")</f>
        <v>1.02</v>
      </c>
      <c r="BH31" s="1223">
        <f>IF(ISNUMBER(((Datos!L31/Datos!K31)*11)/factor_trimestre),((Datos!L31/Datos!K31)*11)/factor_trimestre," - ")</f>
        <v>2.8627450980392157</v>
      </c>
      <c r="BI31" s="1103">
        <f>IF(ISNUMBER(Datos!J31/Datos!I31),Datos!J31/Datos!I31," - ")</f>
        <v>0.67567567567567566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-0.71052631578947367</v>
      </c>
      <c r="BM31" s="1188">
        <f>IF(ISNUMBER((Datos!P31-Datos!Q31+R31)/(Datos!R31-Datos!P31+Datos!Q31-R31)),(Datos!P31-Datos!Q31+R31)/(Datos!R31-Datos!P31+Datos!Q31-R31)," - ")</f>
        <v>-7.8703703703703706E-2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33.142857142857146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58.869346862352735</v>
      </c>
      <c r="G33" s="674">
        <f>IF(ISNUMBER(STDEV(G8:G30)),STDEV(G8:G30),"-")</f>
        <v>55.926822936847792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38.524574717222478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5.2030211004212328</v>
      </c>
      <c r="BD33" s="673"/>
      <c r="BE33" s="673">
        <f>IF(ISNUMBER(STDEV(BE8:BE30)),STDEV(BE8:BE30),"-")</f>
        <v>0</v>
      </c>
      <c r="BF33" s="678">
        <f>IF(ISNUMBER(STDEV(BF8:BF30)),STDEV(BF8:BF30),"-")</f>
        <v>0</v>
      </c>
      <c r="BG33" s="1052">
        <f>IF(ISNUMBER(STDEV(BG8:BG30)),STDEV(BG8:BG30),"-")</f>
        <v>0.50562839944673299</v>
      </c>
      <c r="BH33" s="1058">
        <f>IF(ISNUMBER(STDEV(BH8:BH30)),STDEV(BH8:BH30),"-")</f>
        <v>0.99496514541423975</v>
      </c>
      <c r="BI33" s="273">
        <f>IF(ISNUMBER(STDEV(BI8:BI30)),STDEV(BI8:BI30),"-")</f>
        <v>6.283760935290944E-2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y4WgHOjAYSmPSwtBBuCXXeY+9iCmv8NE1TPAuNGMO+iCexQS6U0VqqWPMwkWXUFQLSdsbzPLTS2l1LrfK+GkA==" saltValue="EmnAArqYDaXoYNiI9C8S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CISTIERNA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29</v>
      </c>
      <c r="AA12" s="551" t="str">
        <f>IF(ISNUMBER(IF(J_V="SI",Datos!L12,Datos!L12+Datos!AB12)-IF(Monitorios="SI",Datos!CD12,0)),
                          IF(J_V="SI",Datos!L12,Datos!L12+Datos!AB12)-IF(Monitorios="SI",Datos!CD12,0),
                          " - ")</f>
        <v xml:space="preserve"> - </v>
      </c>
      <c r="AB12" s="549"/>
      <c r="AC12" s="549"/>
      <c r="AD12" s="563"/>
      <c r="AE12" s="563">
        <f>IF(ISNUMBER(Datos!R12),Datos!R12," - ")</f>
        <v>181</v>
      </c>
      <c r="AF12" s="693" t="str">
        <f>IF(ISNUMBER(Datos!BV12),Datos!BV12," - ")</f>
        <v xml:space="preserve"> - </v>
      </c>
      <c r="AG12" s="552" t="str">
        <f>IF(ISNUMBER(Datos!DV12),Datos!DV12," - ")</f>
        <v xml:space="preserve"> - </v>
      </c>
      <c r="AH12" s="553"/>
      <c r="AI12" s="554"/>
      <c r="AJ12" s="552">
        <f>IF(ISNUMBER(Datos!M12),Datos!M12," - ")</f>
        <v>11</v>
      </c>
      <c r="AK12" s="693">
        <f>IF(ISNUMBER(Datos!N12),Datos!N12," - ")</f>
        <v>13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2.6216216216216215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-6.7010309278350513E-2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16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29</v>
      </c>
      <c r="AA14" s="1199">
        <f t="shared" si="3"/>
        <v>1</v>
      </c>
      <c r="AB14" s="1199">
        <f t="shared" si="3"/>
        <v>0</v>
      </c>
      <c r="AC14" s="1199">
        <f t="shared" si="3"/>
        <v>0</v>
      </c>
      <c r="AD14" s="1199">
        <f t="shared" si="3"/>
        <v>0</v>
      </c>
      <c r="AE14" s="1199">
        <f t="shared" si="3"/>
        <v>181</v>
      </c>
      <c r="AF14" s="1211">
        <f t="shared" si="3"/>
        <v>0</v>
      </c>
      <c r="AG14" s="1211">
        <f t="shared" si="3"/>
        <v>0</v>
      </c>
      <c r="AH14" s="1211">
        <f t="shared" si="3"/>
        <v>0</v>
      </c>
      <c r="AI14" s="1211">
        <f t="shared" si="3"/>
        <v>0</v>
      </c>
      <c r="AJ14" s="1211">
        <f t="shared" si="3"/>
        <v>11</v>
      </c>
      <c r="AK14" s="1211">
        <f t="shared" si="3"/>
        <v>13</v>
      </c>
      <c r="AL14" s="1211">
        <f t="shared" si="3"/>
        <v>0</v>
      </c>
      <c r="AM14" s="1211">
        <f t="shared" si="3"/>
        <v>0</v>
      </c>
      <c r="AN14" s="1211">
        <f t="shared" si="3"/>
        <v>0</v>
      </c>
      <c r="AO14" s="1203">
        <f>IF(ISNUMBER(((NºAsuntos!I14/NºAsuntos!G14)*11)/factor_trimestre),((NºAsuntos!I14/NºAsuntos!G14)*11)/factor_trimestre," - ")</f>
        <v>2.6486486486486487</v>
      </c>
      <c r="AP14" s="1213" t="str">
        <f>IF(ISNUMBER(Datos!CI14/Datos!CJ14),Datos!CI14/Datos!CJ14," - ")</f>
        <v xml:space="preserve"> - </v>
      </c>
      <c r="AQ14" s="1236">
        <f t="shared" ref="AQ14:AV14" si="4">SUBTOTAL(9,AQ9:AQ13)</f>
        <v>0</v>
      </c>
      <c r="AR14" s="1236">
        <f t="shared" si="4"/>
        <v>-6.7010309278350513E-2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114</v>
      </c>
      <c r="G17" s="552">
        <f>IF(ISNUMBER(IF(D_I="SI",Datos!I17,Datos!I17+Datos!AC17)),IF(D_I="SI",Datos!I17,Datos!I17+Datos!AC17)," - ")</f>
        <v>114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78</v>
      </c>
      <c r="Z17" s="805">
        <f>IF(ISNUMBER(Datos!Q17),Datos!Q17," - ")</f>
        <v>5</v>
      </c>
      <c r="AA17" s="551">
        <f>IF(ISNUMBER(IF(D_I="SI",Datos!L17,Datos!L17+Datos!AF17)),IF(D_I="SI",Datos!L17,Datos!L17+Datos!AF17)," - ")</f>
        <v>120</v>
      </c>
      <c r="AB17" s="549"/>
      <c r="AC17" s="549"/>
      <c r="AD17" s="563"/>
      <c r="AE17" s="563">
        <f>IF(ISNUMBER(Datos!R17),Datos!R17," - ")</f>
        <v>18</v>
      </c>
      <c r="AF17" s="693" t="str">
        <f>IF(ISNUMBER(Datos!BV17),Datos!BV17," - ")</f>
        <v xml:space="preserve"> - </v>
      </c>
      <c r="AG17" s="552"/>
      <c r="AH17" s="553"/>
      <c r="AI17" s="554"/>
      <c r="AJ17" s="552">
        <f>IF(ISNUMBER(Datos!M17),Datos!M17," - ")</f>
        <v>8</v>
      </c>
      <c r="AK17" s="693">
        <f>IF(ISNUMBER(Datos!N17),Datos!N17," - ")</f>
        <v>24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3.0769230769230771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v>
      </c>
      <c r="Z18" s="805">
        <f>IF(ISNUMBER(Datos!Q18),Datos!Q18," - ")</f>
        <v>0</v>
      </c>
      <c r="AA18" s="551">
        <f>IF(ISNUMBER(Datos!L18),Datos!L18,"-")</f>
        <v>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0.66666666666666663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114</v>
      </c>
      <c r="G23" s="1197">
        <f>SUBTOTAL(9,G16:G22)</f>
        <v>116</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81</v>
      </c>
      <c r="Z23" s="1240">
        <f t="shared" si="6"/>
        <v>5</v>
      </c>
      <c r="AA23" s="1240">
        <f t="shared" si="6"/>
        <v>121</v>
      </c>
      <c r="AB23" s="1240">
        <f t="shared" si="6"/>
        <v>0</v>
      </c>
      <c r="AC23" s="1240">
        <f t="shared" si="6"/>
        <v>0</v>
      </c>
      <c r="AD23" s="1240">
        <f t="shared" si="6"/>
        <v>0</v>
      </c>
      <c r="AE23" s="1240">
        <f t="shared" si="6"/>
        <v>18</v>
      </c>
      <c r="AF23" s="1240">
        <f t="shared" si="6"/>
        <v>0</v>
      </c>
      <c r="AG23" s="1240">
        <f t="shared" si="6"/>
        <v>0</v>
      </c>
      <c r="AH23" s="1240">
        <f t="shared" si="6"/>
        <v>0</v>
      </c>
      <c r="AI23" s="1240">
        <f t="shared" si="6"/>
        <v>0</v>
      </c>
      <c r="AJ23" s="1240">
        <f t="shared" si="6"/>
        <v>8</v>
      </c>
      <c r="AK23" s="1240">
        <f t="shared" si="6"/>
        <v>26</v>
      </c>
      <c r="AL23" s="1240">
        <f t="shared" si="6"/>
        <v>0</v>
      </c>
      <c r="AM23" s="1240">
        <f t="shared" si="6"/>
        <v>0</v>
      </c>
      <c r="AN23" s="1240">
        <f t="shared" si="6"/>
        <v>0</v>
      </c>
      <c r="AO23" s="1242">
        <f>IF(ISNUMBER(((NºAsuntos!I23/NºAsuntos!G23)*11)/factor_trimestre),((NºAsuntos!I23/NºAsuntos!G23)*11)/factor_trimestre," - ")</f>
        <v>2.9876543209876543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114</v>
      </c>
      <c r="G31" s="1117">
        <f t="shared" si="12"/>
        <v>116</v>
      </c>
      <c r="H31" s="1118">
        <f t="shared" si="12"/>
        <v>0</v>
      </c>
      <c r="I31" s="1117">
        <f t="shared" si="12"/>
        <v>0</v>
      </c>
      <c r="J31" s="1119">
        <f t="shared" si="12"/>
        <v>0</v>
      </c>
      <c r="K31" s="1117">
        <f t="shared" si="12"/>
        <v>0</v>
      </c>
      <c r="L31" s="1120">
        <f t="shared" si="12"/>
        <v>0</v>
      </c>
      <c r="M31" s="1117">
        <f t="shared" si="12"/>
        <v>0</v>
      </c>
      <c r="N31" s="1118">
        <f t="shared" si="12"/>
        <v>17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81</v>
      </c>
      <c r="Z31" s="1124">
        <f t="shared" si="13"/>
        <v>34</v>
      </c>
      <c r="AA31" s="1125">
        <f t="shared" si="13"/>
        <v>122</v>
      </c>
      <c r="AB31" s="1125">
        <f t="shared" si="13"/>
        <v>0</v>
      </c>
      <c r="AC31" s="1125">
        <f t="shared" si="13"/>
        <v>0</v>
      </c>
      <c r="AD31" s="1126">
        <f t="shared" si="13"/>
        <v>0</v>
      </c>
      <c r="AE31" s="1126">
        <f t="shared" si="13"/>
        <v>199</v>
      </c>
      <c r="AF31" s="1127">
        <f t="shared" si="13"/>
        <v>0</v>
      </c>
      <c r="AG31" s="1128">
        <f t="shared" si="13"/>
        <v>0</v>
      </c>
      <c r="AH31" s="1129">
        <f t="shared" si="13"/>
        <v>0</v>
      </c>
      <c r="AI31" s="1127">
        <f t="shared" si="13"/>
        <v>0</v>
      </c>
      <c r="AJ31" s="1117">
        <f t="shared" si="13"/>
        <v>19</v>
      </c>
      <c r="AK31" s="1117">
        <f t="shared" si="13"/>
        <v>39</v>
      </c>
      <c r="AL31" s="1117">
        <f t="shared" si="13"/>
        <v>0</v>
      </c>
      <c r="AM31" s="1130">
        <f t="shared" si="13"/>
        <v>0</v>
      </c>
      <c r="AN31" s="1120">
        <f>IF(ISNUMBER(Datos!K31/Datos!J31),Datos!K31/Datos!J31," - ")</f>
        <v>1.02</v>
      </c>
      <c r="AO31" s="1120">
        <f>IF(ISNUMBER(FIND("06",Criterios!A8,1)),(IF(ISNUMBER(((Datos!R31/Datos!Q31)*11)/factor_trimestre),((Datos!R31/Datos!Q31)*11)/factor_trimestre," - ")),(IF(ISNUMBER(((Datos!L31/Datos!K31)*11)/factor_trimestre),((Datos!L31/Datos!K31)*11)/factor_trimestre," - ")))</f>
        <v>2.8627450980392157</v>
      </c>
      <c r="AP31" s="1131" t="str">
        <f>IF(ISNUMBER(Datos!CI31/Datos!CJ31),Datos!CI31/Datos!CJ31," - ")</f>
        <v xml:space="preserve"> - </v>
      </c>
      <c r="AQ31" s="1131">
        <f>IF(OR(ISNUMBER(FIND("01",Criterios!A8,1)),ISNUMBER(FIND("02",Criterios!A8,1)),ISNUMBER(FIND("03",Criterios!A8,1)),ISNUMBER(FIND("04",Criterios!A8,1))),(J31-Y31+K31)/(F31-K31),(I31-Y31+K31)/(F31-K31))</f>
        <v>-0.71052631578947367</v>
      </c>
      <c r="AR31" s="1131">
        <f>IF(ISNUMBER((Datos!P31-Datos!Q31+O31)/(Datos!R31-Datos!P31+Datos!Q31-O31)),(Datos!P31-Datos!Q31+O31)/(Datos!R31-Datos!P31+Datos!Q31-O31)," - ")</f>
        <v>-7.8703703703703706E-2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33.142857142857146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58.869346862352735</v>
      </c>
      <c r="G33" s="674">
        <f>IF(ISNUMBER(STDEV(G8:G30)),STDEV(G8:G30),"-")</f>
        <v>55.926822936847792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5.2030211004212328</v>
      </c>
      <c r="AK33" s="276"/>
      <c r="AL33" s="276">
        <f>IF(ISNUMBER(STDEV(AL8:AL30)),STDEV(AL8:AL30),"-")</f>
        <v>0</v>
      </c>
      <c r="AM33" s="278">
        <f>IF(ISNUMBER(STDEV(AM8:AM30)),STDEV(AM8:AM30),"-")</f>
        <v>0</v>
      </c>
      <c r="AN33" s="660">
        <f>IF(ISNUMBER(STDEV(AN8:AN30)),STDEV(AN8:AN30),"-")</f>
        <v>0</v>
      </c>
      <c r="AO33" s="661">
        <f>IF(ISNUMBER(STDEV(AO8:AO30)),STDEV(AO8:AO30),"-")</f>
        <v>0.98981674219194604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5srLPKqbLLU+z1StW/cId3oreJ5YIfygLOZu/xqlDRwIi1vn4nEVYjPNJquskRsIx0/ZDvwsUv2rBuWBfo7KBA==" saltValue="TiSplIXEuTUySznKmgIkf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IIRoRFtInxICOY8hJLGNqghHhgs2ZyLbs0ow/1bru5jZCZc5AFztq2z3HyCh2EoWAIrAgRO9yJj2b72bwTXhg==" saltValue="Q/Yr0iNWdJ81zuJtwTuL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E5lbqNX8wIOrK3zfiZdulDL/9FeyZiOAAjtQkMk7TF+3GQq+73jPFMdDingCFaVp5ztUFq6DADv4iT6Mb89Zw==" saltValue="DMZN0aLTyZy10J0MmFqoi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CISTIERNA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0.14864864864864866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0.10511046747367599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ZMEAyFfMdwcMiQ8HP+E8OP2/99RzuojPYxTxVYgmX5lR3AqzeJH1WcgjFUsu9e3JwHhZIfWtpwgTsARZ5D1/g==" saltValue="J50lRwJnRFAUzDYD6teGG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7QQrrUgfYowmJNvbmALgkLZo2n2VizD8vMbLsF07z3wx4CCiIdaLlvlTIXz1TKXCADp5PpAP9YBu8vvsqCXEMw==" saltValue="1U9F8qkImrOezLZmqqgFd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CISTIERNA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1</v>
      </c>
      <c r="F10" s="452">
        <f>IF(ISNUMBER(E10/B10),E10/B10," - ")</f>
        <v>1</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107</v>
      </c>
      <c r="D12" s="452">
        <f>IF(ISNUMBER(C12/Datos!BH12),C12/Datos!BH12," - ")</f>
        <v>107</v>
      </c>
      <c r="E12" s="451">
        <f>IF(ISNUMBER(IF(J_V="SI",Datos!J12,Datos!J12+Datos!Z12)),IF(J_V="SI",Datos!J12,Datos!J12+Datos!Z12)," - ")</f>
        <v>64</v>
      </c>
      <c r="F12" s="452">
        <f>IF(ISNUMBER(E12/B12),E12/B12," - ")</f>
        <v>64</v>
      </c>
      <c r="G12" s="451">
        <f>IF(ISNUMBER(IF(J_V="SI",Datos!K12,Datos!K12+Datos!AA12)),IF(J_V="SI",Datos!K12,Datos!K12+Datos!AA12)," - ")</f>
        <v>74</v>
      </c>
      <c r="H12" s="452">
        <f>IF(ISNUMBER(G12/B12),G12/B12," - ")</f>
        <v>74</v>
      </c>
      <c r="I12" s="451">
        <f>IF(ISNUMBER(IF(J_V="SI",Datos!L12,Datos!L12+Datos!AB12)),IF(J_V="SI",Datos!L12,Datos!L12+Datos!AB12)," - ")</f>
        <v>97</v>
      </c>
      <c r="J12" s="452">
        <f>IF(ISNUMBER(I12/B12),I12/B12," - ")</f>
        <v>97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107</v>
      </c>
      <c r="D14" s="1147" t="str">
        <f>IF(ISNUMBER(C14/Datos!BI14),C14/Datos!BI14," - ")</f>
        <v xml:space="preserve"> - </v>
      </c>
      <c r="E14" s="1146">
        <f>SUBTOTAL(9,E8:E13)</f>
        <v>65</v>
      </c>
      <c r="F14" s="1147">
        <f>IF(ISNUMBER(E14/B14),E14/B14," - ")</f>
        <v>65</v>
      </c>
      <c r="G14" s="1146">
        <f>SUBTOTAL(9,G8:G13)</f>
        <v>74</v>
      </c>
      <c r="H14" s="1147">
        <f>IF(ISNUMBER(G14/B14),G14/B14," - ")</f>
        <v>74</v>
      </c>
      <c r="I14" s="1146">
        <f>SUBTOTAL(9,I8:I13)</f>
        <v>98</v>
      </c>
      <c r="J14" s="1147">
        <f>IF(ISNUMBER(I14/B14),I14/B14," - ")</f>
        <v>98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114</v>
      </c>
      <c r="D17" s="452">
        <f>IF(ISNUMBER(C17/Datos!BH17),C17/Datos!BH17," - ")</f>
        <v>114</v>
      </c>
      <c r="E17" s="451">
        <f>IF(ISNUMBER(IF(D_I="SI",Datos!J17,Datos!J17+Datos!AD17)),IF(D_I="SI",Datos!J17,Datos!J17+Datos!AD17)," - ")</f>
        <v>84</v>
      </c>
      <c r="F17" s="452">
        <f>IF(ISNUMBER(E17/B17),E17/B17," - ")</f>
        <v>84</v>
      </c>
      <c r="G17" s="451">
        <f>IF(ISNUMBER(IF(D_I="SI",Datos!K17,Datos!K17+Datos!AE17)),IF(D_I="SI",Datos!K17,Datos!K17+Datos!AE17)," - ")</f>
        <v>78</v>
      </c>
      <c r="H17" s="452">
        <f>IF(ISNUMBER(G17/B17),G17/B17," - ")</f>
        <v>78</v>
      </c>
      <c r="I17" s="451">
        <f>IF(ISNUMBER(IF(D_I="SI",Datos!L17,Datos!L17+Datos!AF17)),IF(D_I="SI",Datos!L17,Datos!L17+Datos!AF17)," - ")</f>
        <v>120</v>
      </c>
      <c r="J17" s="452">
        <f>IF(ISNUMBER(I17/B17),I17/B17," - ")</f>
        <v>120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v>
      </c>
      <c r="D18" s="452">
        <f>IF(ISNUMBER(C18/Datos!BH18),C18/Datos!BH18," - ")</f>
        <v>2</v>
      </c>
      <c r="E18" s="451">
        <f>IF(ISNUMBER(IF(D_I="SI",Datos!J18,Datos!J18+Datos!AD18)),IF(D_I="SI",Datos!J18,Datos!J18+Datos!AD18)," - ")</f>
        <v>2</v>
      </c>
      <c r="F18" s="452">
        <f>IF(ISNUMBER(E18/B18),E18/B18," - ")</f>
        <v>2</v>
      </c>
      <c r="G18" s="451">
        <f>IF(ISNUMBER(IF(D_I="SI",Datos!K18,Datos!K18+Datos!AE18)),IF(D_I="SI",Datos!K18,Datos!K18+Datos!AE18)," - ")</f>
        <v>3</v>
      </c>
      <c r="H18" s="452">
        <f>IF(ISNUMBER(G18/B18),G18/B18," - ")</f>
        <v>3</v>
      </c>
      <c r="I18" s="451">
        <f>IF(ISNUMBER(IF(D_I="SI",Datos!L18,Datos!L18+Datos!AF18)),IF(D_I="SI",Datos!L18,Datos!L18+Datos!AF18)," - ")</f>
        <v>1</v>
      </c>
      <c r="J18" s="452">
        <f>IF(ISNUMBER(I18/B18),I18/B18," - ")</f>
        <v>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116</v>
      </c>
      <c r="D23" s="1147" t="str">
        <f>IF(ISNUMBER(C23/Datos!BI23),C23/Datos!BI23," - ")</f>
        <v xml:space="preserve"> - </v>
      </c>
      <c r="E23" s="1146">
        <f>SUBTOTAL(9,E15:E22)</f>
        <v>86</v>
      </c>
      <c r="F23" s="1147">
        <f>IF(ISNUMBER(E23/B23),E23/B23," - ")</f>
        <v>86</v>
      </c>
      <c r="G23" s="1146">
        <f>SUBTOTAL(9,G15:G22)</f>
        <v>81</v>
      </c>
      <c r="H23" s="1147">
        <f>IF(ISNUMBER(G23/B23),G23/B23," - ")</f>
        <v>81</v>
      </c>
      <c r="I23" s="1146">
        <f>SUBTOTAL(9,I15:I22)</f>
        <v>121</v>
      </c>
      <c r="J23" s="1147">
        <f>IF(ISNUMBER(I23/B23),I23/B23," - ")</f>
        <v>121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223</v>
      </c>
      <c r="D31" s="1085" t="str">
        <f>IF(ISNUMBER(C31/Datos!BI31),C31/Datos!BI31," - ")</f>
        <v xml:space="preserve"> - </v>
      </c>
      <c r="E31" s="1084">
        <f>SUBTOTAL(9,E9:E30)</f>
        <v>151</v>
      </c>
      <c r="F31" s="1085">
        <f>IF(ISNUMBER(E31/B31),E31/B31," - ")</f>
        <v>151</v>
      </c>
      <c r="G31" s="1084">
        <f>SUBTOTAL(9,G9:G30)</f>
        <v>155</v>
      </c>
      <c r="H31" s="1085">
        <f>IF(ISNUMBER(G31/B31),G31/B31," - ")</f>
        <v>155</v>
      </c>
      <c r="I31" s="1084">
        <f>SUBTOTAL(9,I9:I30)</f>
        <v>219</v>
      </c>
      <c r="J31" s="1085">
        <f>IF(ISNUMBER(I31/B31),I31/B31," - ")</f>
        <v>219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Yl/pHNaGEw20FtOlFvAmLcSyHxBV2mwEfNOKIRfpMXGCuuyhHt3zQ7jirUMHrvLAr9xHR+zIwInUAXN7/p+OYg==" saltValue="S1PPvv/608vKlz2Ctr/e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CISTIERNA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181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v>
      </c>
      <c r="AM12" s="914">
        <f>IF(ISNUMBER(Datos!N12+DatosP!N17),Datos!N12+DatosP!N17," - ")</f>
        <v>13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2.6216216216216215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-6.7010309278350513E-2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29</v>
      </c>
      <c r="AE14" s="1257">
        <f t="shared" si="1"/>
        <v>0</v>
      </c>
      <c r="AF14" s="1257">
        <f t="shared" si="1"/>
        <v>1</v>
      </c>
      <c r="AG14" s="1257">
        <f t="shared" si="1"/>
        <v>0</v>
      </c>
      <c r="AH14" s="1257">
        <f t="shared" si="1"/>
        <v>181</v>
      </c>
      <c r="AI14" s="1257">
        <f t="shared" si="1"/>
        <v>0</v>
      </c>
      <c r="AJ14" s="1257">
        <f t="shared" si="1"/>
        <v>0</v>
      </c>
      <c r="AK14" s="1257">
        <f t="shared" si="1"/>
        <v>0</v>
      </c>
      <c r="AL14" s="1257">
        <f t="shared" si="1"/>
        <v>11</v>
      </c>
      <c r="AM14" s="1257">
        <f t="shared" si="1"/>
        <v>13</v>
      </c>
      <c r="AN14" s="1257">
        <f t="shared" si="1"/>
        <v>0</v>
      </c>
      <c r="AO14" s="1257">
        <f t="shared" si="1"/>
        <v>0</v>
      </c>
      <c r="AP14" s="1262">
        <f>IF(ISNUMBER(((Datos!L14/Datos!K14)*11)/factor_trimestre),((Datos!L14/Datos!K14)*11)/factor_trimestre," - ")</f>
        <v>2.7222222222222223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-6.7010309278350513E-2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2.9876543209876543</v>
      </c>
      <c r="AQ23" s="1262">
        <f>IF(ISNUMBER(((Datos!M23/Datos!L23)*11)/factor_trimestre),((Datos!M23/Datos!L23)*11)/factor_trimestre," - ")</f>
        <v>0.13223140495867769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-0.18181818181818182</v>
      </c>
      <c r="AW23" s="1265">
        <f>IF(ISNUMBER((Datos!Q23-Datos!R23)/(Datos!S23-Datos!Q23+Datos!R23)),(Datos!Q23-Datos!R23)/(Datos!S23-Datos!Q23+Datos!R23)," - ")</f>
        <v>-0.11206896551724138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29</v>
      </c>
      <c r="AE31" s="1284">
        <f t="shared" si="9"/>
        <v>0</v>
      </c>
      <c r="AF31" s="1285">
        <f t="shared" si="9"/>
        <v>1</v>
      </c>
      <c r="AG31" s="1285">
        <f t="shared" si="9"/>
        <v>0</v>
      </c>
      <c r="AH31" s="1285">
        <f t="shared" si="9"/>
        <v>181</v>
      </c>
      <c r="AI31" s="1285">
        <f t="shared" si="9"/>
        <v>0</v>
      </c>
      <c r="AJ31" s="1286">
        <f t="shared" si="9"/>
        <v>0</v>
      </c>
      <c r="AK31" s="1286">
        <f t="shared" si="9"/>
        <v>0</v>
      </c>
      <c r="AL31" s="1278">
        <f t="shared" si="9"/>
        <v>11</v>
      </c>
      <c r="AM31" s="1278">
        <f t="shared" si="9"/>
        <v>13</v>
      </c>
      <c r="AN31" s="1278">
        <f t="shared" si="9"/>
        <v>0</v>
      </c>
      <c r="AO31" s="1278">
        <f t="shared" si="9"/>
        <v>0</v>
      </c>
      <c r="AP31" s="1278">
        <f>IF(ISNUMBER(((Datos!L31/Datos!K31)*11)/factor_trimestre),((Datos!L31/Datos!K31)*11)/factor_trimestre," - ")</f>
        <v>2.8627450980392157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-7.8703703703703706E-2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5.6803755744375444</v>
      </c>
      <c r="AM33" s="1006"/>
      <c r="AN33" s="1006">
        <f>IF(ISNUMBER(STDEV(AN8:AN30)),STDEV(AN8:AN30),"-")</f>
        <v>0</v>
      </c>
      <c r="AO33" s="1012">
        <f>IF(ISNUMBER(STDEV(AO8:AO30)),STDEV(AO8:AO30),"-")</f>
        <v>0</v>
      </c>
      <c r="AP33" s="1065">
        <f>IF(ISNUMBER(STDEV(AP8:AP30)),STDEV(AP8:AP30),"-")</f>
        <v>0.18910077423665234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RSiOTyCB8hYqokZnfHw/+aigCcmzyvptNFZD7nrRaH5lFaJosznF3xZzlBQQgBCWXLBsK+KFlZRTEWIfSGjrw==" saltValue="VZwKwvLVUKfVnBIDUA+ia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CISTIERNA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RB9skL3qGn5ay62X5CvXv8WSuBa+rrPdGmXa8aGS8fcmVPHxttf0T1xGkvtD+UEXMRRvjjO/SoqxsMNRxE8IFw==" saltValue="Q3QeybpgIInsuwofULpwB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CISTIERNA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11</v>
      </c>
      <c r="E12" s="452">
        <f t="shared" si="0"/>
        <v>11</v>
      </c>
      <c r="F12" s="451">
        <f>IF(ISNUMBER(Datos!N12),Datos!N12," - ")</f>
        <v>13</v>
      </c>
      <c r="G12" s="452">
        <f t="shared" si="1"/>
        <v>13</v>
      </c>
      <c r="H12" s="451">
        <f>IF(ISNUMBER(Datos!O12),Datos!O12," - ")</f>
        <v>27</v>
      </c>
      <c r="I12" s="452">
        <f t="shared" si="2"/>
        <v>27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11</v>
      </c>
      <c r="E14" s="1147">
        <f t="shared" si="0"/>
        <v>5.5</v>
      </c>
      <c r="F14" s="1146">
        <f>SUBTOTAL(9,F9:F13)</f>
        <v>13</v>
      </c>
      <c r="G14" s="1147">
        <f t="shared" si="1"/>
        <v>6.5</v>
      </c>
      <c r="H14" s="1146">
        <f>SUBTOTAL(9,H9:H13)</f>
        <v>27</v>
      </c>
      <c r="I14" s="1147">
        <f>IF(ISNUMBER(H14/B14),H14/B14," - ")</f>
        <v>13.5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8</v>
      </c>
      <c r="E17" s="452">
        <f t="shared" si="3"/>
        <v>8</v>
      </c>
      <c r="F17" s="451">
        <f>IF(ISNUMBER(Datos!N17),Datos!N17," - ")</f>
        <v>24</v>
      </c>
      <c r="G17" s="452">
        <f t="shared" si="4"/>
        <v>24</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8</v>
      </c>
      <c r="E23" s="1147">
        <f t="shared" si="3"/>
        <v>4</v>
      </c>
      <c r="F23" s="1146">
        <f>SUBTOTAL(9,F16:F22)</f>
        <v>26</v>
      </c>
      <c r="G23" s="1147">
        <f t="shared" si="4"/>
        <v>13</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19</v>
      </c>
      <c r="E31" s="1085">
        <f>IF(ISNUMBER(D31/B31),D31/B31," - ")</f>
        <v>19</v>
      </c>
      <c r="F31" s="1084">
        <f>SUBTOTAL(9,F8:F30)</f>
        <v>39</v>
      </c>
      <c r="G31" s="1085">
        <f>IF(ISNUMBER(F31/B31),F31/B31," - ")</f>
        <v>39</v>
      </c>
      <c r="H31" s="1084">
        <f>SUBTOTAL(9,H8:H30)</f>
        <v>27</v>
      </c>
      <c r="I31" s="1085">
        <f>IF(ISNUMBER(H31/B31),H31/B31," - ")</f>
        <v>27</v>
      </c>
    </row>
    <row r="34" spans="1:1">
      <c r="A34" s="439" t="str">
        <f>Criterios!A4</f>
        <v>Fecha Informe: 06 may. 2023</v>
      </c>
    </row>
    <row r="39" spans="1:1">
      <c r="A39" s="462"/>
    </row>
  </sheetData>
  <sheetProtection algorithmName="SHA-512" hashValue="W+NruWl2goKJ1FyWnjEHIu/4v6U/OdNMxuI+OIOPoG6UofmPZCEl8zr4fQs2TeqcvHga7YLewPj9kpRvTInZcA==" saltValue="qIHWOodDobUvY9zMixS/d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CISTIERNA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v>
      </c>
      <c r="C12" s="489">
        <f>IF(ISNUMBER(Datos!Q12),Datos!Q12," - ")</f>
        <v>29</v>
      </c>
      <c r="D12" s="456">
        <f>IF(ISNUMBER(Datos!R12),Datos!R12," - ")</f>
        <v>181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v>
      </c>
      <c r="C14" s="1150">
        <f>SUBTOTAL(9,C9:C13)</f>
        <v>29</v>
      </c>
      <c r="D14" s="1148">
        <f>SUBTOTAL(9,D9:D13)</f>
        <v>181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5</v>
      </c>
      <c r="D17" s="456">
        <f>IF(ISNUMBER(Datos!R17),Datos!R17," - ")</f>
        <v>18</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5</v>
      </c>
      <c r="D23" s="1148">
        <f>SUBTOTAL(9,D16:D22)</f>
        <v>18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17</v>
      </c>
      <c r="C31" s="1089">
        <f>SUBTOTAL(9,C8:C30)</f>
        <v>34</v>
      </c>
      <c r="D31" s="1090">
        <f>SUBTOTAL(9,D8:D30)</f>
        <v>199</v>
      </c>
    </row>
    <row r="32" spans="1:4" ht="7.5" customHeight="1"/>
    <row r="33" spans="1:1" ht="6" customHeight="1"/>
    <row r="34" spans="1:1">
      <c r="A34" s="439" t="str">
        <f>Criterios!A4</f>
        <v>Fecha Informe: 06 may. 2023</v>
      </c>
    </row>
    <row r="39" spans="1:1">
      <c r="A39" s="462"/>
    </row>
  </sheetData>
  <sheetProtection algorithmName="SHA-512" hashValue="EVlzHarGcQ3J2sh+sdYANwL73e2KQ8/SxYRwYftQLvK0DcGdQL7BiXAkAexFUwZFEpJUDKKcMAA+kdM+2WMAzg==" saltValue="bbKd0nFe2JxSasEJkWBl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CISTIERNA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9.1836734693877556E-2</v>
      </c>
      <c r="C12" s="515">
        <f>IF(ISNUMBER(
   IF(J_V="SI",(Datos!J12-Datos!T12)/Datos!T12,(Datos!J12+Datos!Z12-(Datos!T12+Datos!AH12))/(Datos!T12+Datos!AH12))
     ),IF(J_V="SI",(Datos!J12-Datos!T12)/Datos!T12,(Datos!J12+Datos!Z12-(Datos!T12+Datos!AH12))/(Datos!T12+Datos!AH12))," - ")</f>
        <v>8.4745762711864403E-2</v>
      </c>
      <c r="D12" s="515">
        <f>IF(ISNUMBER(
   IF(J_V="SI",(Datos!K12-Datos!U12)/Datos!U12,(Datos!K12+Datos!AA12-(Datos!U12+Datos!AI12))/(Datos!U12+Datos!AI12))
     ),IF(J_V="SI",(Datos!K12-Datos!U12)/Datos!U12,(Datos!K12+Datos!AA12-(Datos!U12+Datos!AI12))/(Datos!U12+Datos!AI12))," - ")</f>
        <v>0.21311475409836064</v>
      </c>
      <c r="E12" s="515">
        <f>IF(ISNUMBER(
   IF(J_V="SI",(Datos!L12-Datos!V12)/Datos!V12,(Datos!L12+Datos!AB12-(Datos!V12+Datos!AJ12))/(Datos!V12+Datos!AJ12))
     ),IF(J_V="SI",(Datos!L12-Datos!V12)/Datos!V12,(Datos!L12+Datos!AB12-(Datos!V12+Datos!AJ12))/(Datos!V12+Datos!AJ12))," - ")</f>
        <v>1.0416666666666666E-2</v>
      </c>
      <c r="F12" s="515">
        <f>IF(ISNUMBER((Datos!M12-Datos!W12)/Datos!W12),(Datos!M12-Datos!W12)/Datos!W12," - ")</f>
        <v>-0.54166666666666663</v>
      </c>
      <c r="G12" s="516">
        <f>IF(ISNUMBER((Datos!N12-Datos!X12)/Datos!X12),(Datos!N12-Datos!X12)/Datos!X12," - ")</f>
        <v>0.625</v>
      </c>
      <c r="H12" s="514">
        <f>IF(ISNUMBER(((NºAsuntos!G12/NºAsuntos!E12)-Datos!BD12)/Datos!BD12),((NºAsuntos!G12/NºAsuntos!E12)-Datos!BD12)/Datos!BD12," - ")</f>
        <v>0.11834016393442633</v>
      </c>
      <c r="I12" s="515">
        <f>IF(ISNUMBER(((NºAsuntos!I12/NºAsuntos!G12)-Datos!BE12)/Datos!BE12),((NºAsuntos!I12/NºAsuntos!G12)-Datos!BE12)/Datos!BE12," - ")</f>
        <v>-0.167088963963964</v>
      </c>
      <c r="J12" s="521">
        <f>IF(ISNUMBER((('Resol  Asuntos'!D12/NºAsuntos!G12)-Datos!BF12)/Datos!BF12),(('Resol  Asuntos'!D12/NºAsuntos!G12)-Datos!BF12)/Datos!BF12," - ")</f>
        <v>0.13344594594594594</v>
      </c>
      <c r="K12" s="522">
        <f>IF(ISNUMBER((((NºAsuntos!C12+NºAsuntos!E12)/NºAsuntos!G12)-Datos!BG12)/Datos!BG12),(((NºAsuntos!C12+NºAsuntos!E12)/NºAsuntos!G12)-Datos!BG12)/Datos!BG12," - ")</f>
        <v>-0.10216904802892057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9.1836734693877556E-2</v>
      </c>
      <c r="C14" s="1152">
        <f>IF(ISNUMBER(
   IF(J_V="SI",(Datos!J14-Datos!T14)/Datos!T14,(Datos!J14+Datos!Z14-(Datos!T14+Datos!AH14))/(Datos!T14+Datos!AH14))
     ),IF(J_V="SI",(Datos!J14-Datos!T14)/Datos!T14,(Datos!J14+Datos!Z14-(Datos!T14+Datos!AH14))/(Datos!T14+Datos!AH14))," - ")</f>
        <v>0.10169491525423729</v>
      </c>
      <c r="D14" s="1152">
        <f>IF(ISNUMBER(
   IF(J_V="SI",(Datos!K14-Datos!U14)/Datos!U14,(Datos!K14+Datos!AA14-(Datos!U14+Datos!AI14))/(Datos!U14+Datos!AI14))
     ),IF(J_V="SI",(Datos!K14-Datos!U14)/Datos!U14,(Datos!K14+Datos!AA14-(Datos!U14+Datos!AI14))/(Datos!U14+Datos!AI14))," - ")</f>
        <v>0.21311475409836064</v>
      </c>
      <c r="E14" s="1152">
        <f>IF(ISNUMBER(
   IF(J_V="SI",(Datos!L14-Datos!V14)/Datos!V14,(Datos!L14+Datos!AB14-(Datos!V14+Datos!AJ14))/(Datos!V14+Datos!AJ14))
     ),IF(J_V="SI",(Datos!L14-Datos!V14)/Datos!V14,(Datos!L14+Datos!AB14-(Datos!V14+Datos!AJ14))/(Datos!V14+Datos!AJ14))," - ")</f>
        <v>2.0833333333333332E-2</v>
      </c>
      <c r="F14" s="1153">
        <f>IF(ISNUMBER((Datos!M14-Datos!W14)/Datos!W14),(Datos!M14-Datos!W14)/Datos!W14," - ")</f>
        <v>-0.54166666666666663</v>
      </c>
      <c r="G14" s="1154">
        <f>IF(ISNUMBER((Datos!N14-Datos!X14)/Datos!X14),(Datos!N14-Datos!X14)/Datos!X14," - ")</f>
        <v>0.625</v>
      </c>
      <c r="H14" s="1154">
        <f>IF(ISNUMBER(((NºAsuntos!G14/NºAsuntos!E14)-Datos!BD14)/Datos!BD14),((NºAsuntos!G14/NºAsuntos!E14)-Datos!BD14)/Datos!BD14," - ")</f>
        <v>0.10113493064312741</v>
      </c>
      <c r="I14" s="1154">
        <f>IF(ISNUMBER(((NºAsuntos!I14/NºAsuntos!G14)-Datos!BE14)/Datos!BE14),((NºAsuntos!I14/NºAsuntos!G14)-Datos!BE14)/Datos!BE14," - ")</f>
        <v>-0.15850225225225223</v>
      </c>
      <c r="J14" s="1154">
        <f>IF(ISNUMBER((('Resol  Asuntos'!D14/NºAsuntos!G14)-Datos!BF14)/Datos!BF14),(('Resol  Asuntos'!D14/NºAsuntos!G14)-Datos!BF14)/Datos!BF14," - ")</f>
        <v>0.13344594594594594</v>
      </c>
      <c r="K14" s="1154">
        <f>IF(ISNUMBER((((NºAsuntos!C14+NºAsuntos!E14)/NºAsuntos!G14)-Datos!BG14)/Datos!BG14),(((NºAsuntos!C14+NºAsuntos!E14)/NºAsuntos!G14)-Datos!BG14)/Datos!BG14," - ")</f>
        <v>-9.6918574625581067E-2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0.12871287128712872</v>
      </c>
      <c r="C17" s="515">
        <f>IF(ISNUMBER(
   IF(D_I="SI",(Datos!J17-Datos!T17)/Datos!T17,(Datos!J17+Datos!AD17-(Datos!T17+Datos!AL17))/(Datos!T17+Datos!AL17))
     ),IF(D_I="SI",(Datos!J17-Datos!T17)/Datos!T17,(Datos!J17+Datos!AD17-(Datos!T17+Datos!AL17))/(Datos!T17+Datos!AL17))," - ")</f>
        <v>0.6470588235294118</v>
      </c>
      <c r="D17" s="515">
        <f>IF(ISNUMBER(
   IF(D_I="SI",(Datos!K17-Datos!U17)/Datos!U17,(Datos!K17+Datos!AE17-(Datos!U17+Datos!AM17))/(Datos!U17+Datos!AM17))
     ),IF(D_I="SI",(Datos!K17-Datos!U17)/Datos!U17,(Datos!K17+Datos!AE17-(Datos!U17+Datos!AM17))/(Datos!U17+Datos!AM17))," - ")</f>
        <v>0.95</v>
      </c>
      <c r="E17" s="515">
        <f>IF(ISNUMBER(
   IF(D_I="SI",(Datos!L17-Datos!V17)/Datos!V17,(Datos!L17+Datos!AF17-(Datos!V17+Datos!AN17))/(Datos!V17+Datos!AN17))
     ),IF(D_I="SI",(Datos!L17-Datos!V17)/Datos!V17,(Datos!L17+Datos!AF17-(Datos!V17+Datos!AN17))/(Datos!V17+Datos!AN17))," - ")</f>
        <v>7.1428571428571425E-2</v>
      </c>
      <c r="F17" s="515">
        <f>IF(ISNUMBER((Datos!M17-Datos!W17)/Datos!W17),(Datos!M17-Datos!W17)/Datos!W17," - ")</f>
        <v>-0.42857142857142855</v>
      </c>
      <c r="G17" s="516">
        <f>IF(ISNUMBER((Datos!N17-Datos!X17)/Datos!X17),(Datos!N17-Datos!X17)/Datos!X17," - ")</f>
        <v>9.0909090909090912E-2</v>
      </c>
      <c r="H17" s="514">
        <f>IF(ISNUMBER(((NºAsuntos!G17/NºAsuntos!E17)-Datos!BD17)/Datos!BD17),((NºAsuntos!G17/NºAsuntos!E17)-Datos!BD17)/Datos!BD17," - ")</f>
        <v>0.1839285714285715</v>
      </c>
      <c r="I17" s="515">
        <f>IF(ISNUMBER(((NºAsuntos!I17/NºAsuntos!G17)-Datos!BE17)/Datos!BE17),((NºAsuntos!I17/NºAsuntos!G17)-Datos!BE17)/Datos!BE17," - ")</f>
        <v>-0.4505494505494505</v>
      </c>
      <c r="J17" s="521">
        <f>IF(ISNUMBER((('Resol  Asuntos'!D17/NºAsuntos!G17)-Datos!BF17)/Datos!BF17),(('Resol  Asuntos'!D17/NºAsuntos!G17)-Datos!BF17)/Datos!BF17," - ")</f>
        <v>-0.706959706959707</v>
      </c>
      <c r="K17" s="522">
        <f>IF(ISNUMBER((((NºAsuntos!C17+NºAsuntos!E17)/NºAsuntos!G17)-Datos!BG17)/Datos!BG17),(((NºAsuntos!C17+NºAsuntos!E17)/NºAsuntos!G17)-Datos!BG17)/Datos!BG17," - ")</f>
        <v>-0.33198380566801622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v>
      </c>
      <c r="C18" s="515">
        <f>IF(ISNUMBER(
   IF(D_I="SI",(Datos!J18-Datos!T18)/Datos!T18,(Datos!J18+Datos!AD18-(Datos!T18+Datos!AL18))/(Datos!T18+Datos!AL18))
     ),IF(D_I="SI",(Datos!J18-Datos!T18)/Datos!T18,(Datos!J18+Datos!AD18-(Datos!T18+Datos!AL18))/(Datos!T18+Datos!AL18))," - ")</f>
        <v>0</v>
      </c>
      <c r="D18" s="515" t="str">
        <f>IF(ISNUMBER(
   IF(D_I="SI",(Datos!K18-Datos!U18)/Datos!U18,(Datos!K18+Datos!AE18-(Datos!U18+Datos!AM18))/(Datos!U18+Datos!AM18))
     ),IF(D_I="SI",(Datos!K18-Datos!U18)/Datos!U18,(Datos!K18+Datos!AE18-(Datos!U18+Datos!AM18))/(Datos!U18+Datos!AM18))," - ")</f>
        <v xml:space="preserve"> - </v>
      </c>
      <c r="E18" s="515">
        <f>IF(ISNUMBER(
   IF(D_I="SI",(Datos!L18-Datos!V18)/Datos!V18,(Datos!L18+Datos!AF18-(Datos!V18+Datos!AN18))/(Datos!V18+Datos!AN18))
     ),IF(D_I="SI",(Datos!L18-Datos!V18)/Datos!V18,(Datos!L18+Datos!AF18-(Datos!V18+Datos!AN18))/(Datos!V18+Datos!AN18))," - ")</f>
        <v>-0.75</v>
      </c>
      <c r="F18" s="515" t="str">
        <f>IF(ISNUMBER((Datos!M18-Datos!W18)/Datos!W18),(Datos!M18-Datos!W18)/Datos!W18," - ")</f>
        <v xml:space="preserve"> - </v>
      </c>
      <c r="G18" s="516">
        <f>IF(ISNUMBER((Datos!N18-Datos!X18)/Datos!X18),(Datos!N18-Datos!X18)/Datos!X18," - ")</f>
        <v>0</v>
      </c>
      <c r="H18" s="514" t="str">
        <f>IF(ISNUMBER(((NºAsuntos!G18/NºAsuntos!E18)-Datos!BD18)/Datos!BD18),((NºAsuntos!G18/NºAsuntos!E18)-Datos!BD18)/Datos!BD18," - ")</f>
        <v xml:space="preserve"> - </v>
      </c>
      <c r="I18" s="515" t="str">
        <f>IF(ISNUMBER(((NºAsuntos!I18/NºAsuntos!G18)-Datos!BE18)/Datos!BE18),((NºAsuntos!I18/NºAsuntos!G18)-Datos!BE18)/Datos!BE18," - ")</f>
        <v xml:space="preserve"> - </v>
      </c>
      <c r="J18" s="521" t="str">
        <f>IF(ISNUMBER((('Resol  Asuntos'!D18/NºAsuntos!G18)-Datos!BF18)/Datos!BF18),(('Resol  Asuntos'!D18/NºAsuntos!G18)-Datos!BF18)/Datos!BF18," - ")</f>
        <v xml:space="preserve"> - </v>
      </c>
      <c r="K18" s="522" t="str">
        <f>IF(ISNUMBER((((NºAsuntos!C18+NºAsuntos!E18)/NºAsuntos!G18)-Datos!BG18)/Datos!BG18),(((NºAsuntos!C18+NºAsuntos!E18)/NºAsuntos!G18)-Datos!BG18)/Datos!BG18," - ")</f>
        <v xml:space="preserve"> - </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0.12621359223300971</v>
      </c>
      <c r="C23" s="1152">
        <f>IF(ISNUMBER(
   IF(Criterios!B14="SI",(Datos!J23-Datos!T23)/Datos!T23,(Datos!J23+Datos!AD23-(Datos!T23+Datos!AL23))/(Datos!T23+Datos!AL23))
     ),IF(Criterios!B14="SI",(Datos!J23-Datos!T23)/Datos!T23,(Datos!J23+Datos!AD23-(Datos!T23+Datos!AL23))/(Datos!T23+Datos!AL23))," - ")</f>
        <v>0.62264150943396224</v>
      </c>
      <c r="D23" s="1152">
        <f>IF(ISNUMBER(
   IF(Criterios!B14="SI",(Datos!K23-Datos!U23)/Datos!U23,(Datos!K23+Datos!AE23-(Datos!U23+Datos!AM23))/(Datos!U23+Datos!AM23))
     ),IF(Criterios!B14="SI",(Datos!K23-Datos!U23)/Datos!U23,(Datos!K23+Datos!AE23-(Datos!U23+Datos!AM23))/(Datos!U23+Datos!AM23))," - ")</f>
        <v>1.0249999999999999</v>
      </c>
      <c r="E23" s="1152">
        <f>IF(ISNUMBER(
   IF(Criterios!B14="SI",(Datos!L23-Datos!V23)/Datos!V23,(Datos!L23+Datos!AF23-(Datos!V23+Datos!AN23))/(Datos!V23+Datos!AN23))
     ),IF(Criterios!B14="SI",(Datos!L23-Datos!V23)/Datos!V23,(Datos!L23+Datos!AF23-(Datos!V23+Datos!AN23))/(Datos!V23+Datos!AN23))," - ")</f>
        <v>4.3103448275862072E-2</v>
      </c>
      <c r="F23" s="1153">
        <f>IF(ISNUMBER((Datos!M23-Datos!W23)/Datos!W23),(Datos!M23-Datos!W23)/Datos!W23," - ")</f>
        <v>-0.42857142857142855</v>
      </c>
      <c r="G23" s="1154">
        <f>IF(ISNUMBER((Datos!N23-Datos!X23)/Datos!X23),(Datos!N23-Datos!X23)/Datos!X23," - ")</f>
        <v>8.3333333333333329E-2</v>
      </c>
      <c r="H23" s="1154">
        <f>IF(ISNUMBER(((NºAsuntos!G23/NºAsuntos!E23)-Datos!BD23)/Datos!BD23),((NºAsuntos!G23/NºAsuntos!E23)-Datos!BD23)/Datos!BD23," - ")</f>
        <v>0.2479651162790697</v>
      </c>
      <c r="I23" s="1154">
        <f>IF(ISNUMBER(((NºAsuntos!I23/NºAsuntos!G23)-Datos!BE23)/Datos!BE23),((NºAsuntos!I23/NºAsuntos!G23)-Datos!BE23)/Datos!BE23," - ")</f>
        <v>-0.4848871860366113</v>
      </c>
      <c r="J23" s="1154">
        <f>IF(ISNUMBER((('Resol  Asuntos'!D23/NºAsuntos!G23)-Datos!BF23)/Datos!BF23),(('Resol  Asuntos'!D23/NºAsuntos!G23)-Datos!BF23)/Datos!BF23," - ")</f>
        <v>-0.7178130511463845</v>
      </c>
      <c r="K23" s="1154">
        <f>IF(ISNUMBER((((NºAsuntos!C23+NºAsuntos!E23)/NºAsuntos!G23)-Datos!BG23)/Datos!BG23),(((NºAsuntos!C23+NºAsuntos!E23)/NºAsuntos!G23)-Datos!BG23)/Datos!BG23," - ")</f>
        <v>-0.36055713833491609</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0.10945273631840796</v>
      </c>
      <c r="C31" s="1092">
        <f>IF(ISNUMBER(
   IF(J_V="SI",(Datos!J31-Datos!T31)/Datos!T31,(Datos!J31+Datos!Z31-(Datos!T31+Datos!AH31))/(Datos!T31+Datos!AH31))
     ),IF(J_V="SI",(Datos!J31-Datos!T31)/Datos!T31,(Datos!J31+Datos!Z31-(Datos!T31+Datos!AH31))/(Datos!T31+Datos!AH31))," - ")</f>
        <v>0.3482142857142857</v>
      </c>
      <c r="D31" s="1092">
        <f>IF(ISNUMBER(
   IF(J_V="SI",(Datos!K31-Datos!U31)/Datos!U31,(Datos!K31+Datos!AA31-(Datos!U31+Datos!AI31))/(Datos!U31+Datos!AI31))
     ),IF(J_V="SI",(Datos!K31-Datos!U31)/Datos!U31,(Datos!K31+Datos!AA31-(Datos!U31+Datos!AI31))/(Datos!U31+Datos!AI31))," - ")</f>
        <v>0.53465346534653468</v>
      </c>
      <c r="E31" s="1092">
        <f>IF(ISNUMBER(
   IF(J_V="SI",(Datos!L31-Datos!V31)/Datos!V31,(Datos!L31+Datos!AB31-(Datos!V31+Datos!AJ31))/(Datos!V31+Datos!AJ31))
     ),IF(J_V="SI",(Datos!L31-Datos!V31)/Datos!V31,(Datos!L31+Datos!AB31-(Datos!V31+Datos!AJ31))/(Datos!V31+Datos!AJ31))," - ")</f>
        <v>3.3018867924528301E-2</v>
      </c>
      <c r="F31" s="1093">
        <f>IF(ISNUMBER((Datos!M31-Datos!W31)/Datos!W31),(Datos!M31-Datos!W31)/Datos!W31," - ")</f>
        <v>-0.5</v>
      </c>
      <c r="G31" s="1094">
        <f>IF(ISNUMBER((Datos!N31-Datos!X31)/Datos!X31),(Datos!N31-Datos!X31)/Datos!X31," - ")</f>
        <v>0.21875</v>
      </c>
      <c r="H31" s="1095">
        <f>IF(ISNUMBER((Tasas!B31-Datos!BD31)/Datos!BD31),(Tasas!B31-Datos!BD31)/Datos!BD31," - ")</f>
        <v>0.13828601403186663</v>
      </c>
      <c r="I31" s="1096">
        <f>IF(ISNUMBER((Tasas!C31-Datos!BE31)/Datos!BE31),(Tasas!C31-Datos!BE31)/Datos!BE31," - ")</f>
        <v>-0.32687157638466224</v>
      </c>
      <c r="J31" s="1097">
        <f>IF(ISNUMBER((Tasas!D31-Datos!BF31)/Datos!BF31),(Tasas!D31-Datos!BF31)/Datos!BF31," - ")</f>
        <v>-0.4372434017595308</v>
      </c>
      <c r="K31" s="1097">
        <f>IF(ISNUMBER((Tasas!E31-Datos!BG31)/Datos!BG31),(Tasas!E31-Datos!BG31)/Datos!BG31," - ")</f>
        <v>-0.2213954447078223</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ubbURCCps3vkSYuriPUrOl5wd1I1+GX5j3r85/XnrfvnUn9CBz1k1bHkvtKKigutZmy7OMO3Qsl6bwkjar7ow==" saltValue="DMTLGHC5aKvdDZ4l09car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CISTIERNA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1.15625</v>
      </c>
      <c r="C12" s="498">
        <f>IF(ISNUMBER(NºAsuntos!I12/NºAsuntos!G12),NºAsuntos!I12/NºAsuntos!G12," - ")</f>
        <v>1.3108108108108107</v>
      </c>
      <c r="D12" s="499">
        <f>IF(ISNUMBER('Resol  Asuntos'!D12/NºAsuntos!G12),'Resol  Asuntos'!D12/NºAsuntos!G12," - ")</f>
        <v>0.14864864864864866</v>
      </c>
      <c r="E12" s="500">
        <f>IF(ISNUMBER((NºAsuntos!C12+NºAsuntos!E12)/NºAsuntos!G12),(NºAsuntos!C12+NºAsuntos!E12)/NºAsuntos!G12," - ")</f>
        <v>2.310810810810811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1.1384615384615384</v>
      </c>
      <c r="C14" s="1156">
        <f>IF(ISNUMBER(NºAsuntos!I14/NºAsuntos!G14),NºAsuntos!I14/NºAsuntos!G14," - ")</f>
        <v>1.3243243243243243</v>
      </c>
      <c r="D14" s="1157">
        <f>IF(ISNUMBER('Resol  Asuntos'!D14/NºAsuntos!G14),'Resol  Asuntos'!D14/NºAsuntos!G14," - ")</f>
        <v>0.14864864864864866</v>
      </c>
      <c r="E14" s="1158">
        <f>IF(ISNUMBER((NºAsuntos!C14+NºAsuntos!E14)/NºAsuntos!G14),(NºAsuntos!C14+NºAsuntos!E14)/NºAsuntos!G14," - ")</f>
        <v>2.3243243243243241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0.9285714285714286</v>
      </c>
      <c r="C17" s="498">
        <f>IF(ISNUMBER(NºAsuntos!I17/NºAsuntos!G17),NºAsuntos!I17/NºAsuntos!G17," - ")</f>
        <v>1.5384615384615385</v>
      </c>
      <c r="D17" s="499">
        <f>IF(ISNUMBER('Resol  Asuntos'!D17/NºAsuntos!G17),'Resol  Asuntos'!D17/NºAsuntos!G17," - ")</f>
        <v>0.10256410256410256</v>
      </c>
      <c r="E17" s="500">
        <f>IF(ISNUMBER((NºAsuntos!C17+NºAsuntos!E17)/NºAsuntos!G17),(NºAsuntos!C17+NºAsuntos!E17)/NºAsuntos!G17," - ")</f>
        <v>2.5384615384615383</v>
      </c>
      <c r="G17" s="523"/>
    </row>
    <row r="18" spans="1:7">
      <c r="A18" s="450" t="str">
        <f>Datos!A18</f>
        <v>Jdos. Violencia contra la mujer</v>
      </c>
      <c r="B18" s="497">
        <f>IF(ISNUMBER(NºAsuntos!G18/NºAsuntos!E18),NºAsuntos!G18/NºAsuntos!E18," - ")</f>
        <v>1.5</v>
      </c>
      <c r="C18" s="498">
        <f>IF(ISNUMBER(NºAsuntos!I18/NºAsuntos!G18),NºAsuntos!I18/NºAsuntos!G18," - ")</f>
        <v>0.33333333333333331</v>
      </c>
      <c r="D18" s="499">
        <f>IF(ISNUMBER('Resol  Asuntos'!D18/NºAsuntos!G18),'Resol  Asuntos'!D18/NºAsuntos!G18," - ")</f>
        <v>0</v>
      </c>
      <c r="E18" s="500">
        <f>IF(ISNUMBER((NºAsuntos!C18+NºAsuntos!E18)/NºAsuntos!G18),(NºAsuntos!C18+NºAsuntos!E18)/NºAsuntos!G18," - ")</f>
        <v>1.3333333333333333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0.94186046511627908</v>
      </c>
      <c r="C23" s="1156">
        <f>IF(ISNUMBER(NºAsuntos!I23/NºAsuntos!G23),NºAsuntos!I23/NºAsuntos!G23," - ")</f>
        <v>1.4938271604938271</v>
      </c>
      <c r="D23" s="1159">
        <f>IF(ISNUMBER('Resol  Asuntos'!D23/NºAsuntos!G23),'Resol  Asuntos'!D23/NºAsuntos!G23," - ")</f>
        <v>9.8765432098765427E-2</v>
      </c>
      <c r="E23" s="1158">
        <f>IF(ISNUMBER((NºAsuntos!C23+NºAsuntos!E23)/NºAsuntos!G23),(NºAsuntos!C23+NºAsuntos!E23)/NºAsuntos!G23," - ")</f>
        <v>2.4938271604938271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1.0264900662251655</v>
      </c>
      <c r="C31" s="1099">
        <f>IF(ISNUMBER(NºAsuntos!I31/NºAsuntos!G31),NºAsuntos!I31/NºAsuntos!G31," - ")</f>
        <v>1.4129032258064516</v>
      </c>
      <c r="D31" s="1100">
        <f>IF(ISNUMBER('Resol  Asuntos'!D31/NºAsuntos!G31),'Resol  Asuntos'!D31/NºAsuntos!G31," - ")</f>
        <v>0.12258064516129032</v>
      </c>
      <c r="E31" s="1101">
        <f>IF(ISNUMBER((NºAsuntos!C31+NºAsuntos!E31)/NºAsuntos!G31),(NºAsuntos!C31+NºAsuntos!E31)/NºAsuntos!G31," - ")</f>
        <v>2.4129032258064518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f4dWDU+zFyFhjf1CpVWataYT4JwhVhcU3CcAV5z523Al+QqcAYJ6ibLB39BJT9QJG2GGnpQF2Z55RNKvr7gjg==" saltValue="6MJovtZmFnxlenMTvQEWt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CISTIERNA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29</v>
      </c>
      <c r="Y12" s="374">
        <f t="shared" si="0"/>
        <v>29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181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v>
      </c>
      <c r="AJ12" s="243" t="str">
        <f>IF(ISNUMBER(Datos!BW12),Datos!BW12," - ")</f>
        <v xml:space="preserve"> - </v>
      </c>
      <c r="AK12" s="242" t="str">
        <f>IF(ISNUMBER(Datos!BX12),Datos!BX12," - ")</f>
        <v xml:space="preserve"> - </v>
      </c>
      <c r="AL12" s="266">
        <f>IF(ISNUMBER(NºAsuntos!G12/NºAsuntos!E12),NºAsuntos!G12/NºAsuntos!E12," - ")</f>
        <v>1.15625</v>
      </c>
      <c r="AM12" s="284">
        <f>IF(ISNUMBER(((NºAsuntos!I12/NºAsuntos!G12)*11)/factor_trimestre),((NºAsuntos!I12/NºAsuntos!G12)*11)/factor_trimestre," - ")</f>
        <v>2.6216216216216215</v>
      </c>
      <c r="AN12" s="267">
        <f>IF(ISNUMBER('Resol  Asuntos'!D12/NºAsuntos!G12),'Resol  Asuntos'!D12/NºAsuntos!G12," - ")</f>
        <v>0.14864864864864866</v>
      </c>
      <c r="AO12" s="268">
        <f>IF(ISNUMBER((NºAsuntos!C12+NºAsuntos!E12)/NºAsuntos!G12),(NºAsuntos!C12+NºAsuntos!E12)/NºAsuntos!G12," - ")</f>
        <v>2.310810810810811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16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29</v>
      </c>
      <c r="Y14" s="1165">
        <f t="shared" si="6"/>
        <v>29</v>
      </c>
      <c r="Z14" s="1165">
        <f t="shared" si="6"/>
        <v>0</v>
      </c>
      <c r="AA14" s="1165">
        <f t="shared" si="6"/>
        <v>1</v>
      </c>
      <c r="AB14" s="1165">
        <f t="shared" si="6"/>
        <v>181</v>
      </c>
      <c r="AC14" s="1165">
        <f t="shared" si="6"/>
        <v>1</v>
      </c>
      <c r="AD14" s="1165">
        <f t="shared" si="6"/>
        <v>0</v>
      </c>
      <c r="AE14" s="1169">
        <f t="shared" si="6"/>
        <v>0</v>
      </c>
      <c r="AF14" s="1162">
        <f t="shared" si="6"/>
        <v>0</v>
      </c>
      <c r="AG14" s="1170">
        <f t="shared" si="6"/>
        <v>0</v>
      </c>
      <c r="AH14" s="1167">
        <f t="shared" si="6"/>
        <v>0</v>
      </c>
      <c r="AI14" s="1162">
        <f t="shared" si="6"/>
        <v>11</v>
      </c>
      <c r="AJ14" s="1164">
        <f t="shared" si="6"/>
        <v>0</v>
      </c>
      <c r="AK14" s="1167">
        <f>SUBTOTAL(9,AK9:AK13)</f>
        <v>0</v>
      </c>
      <c r="AL14" s="1171">
        <f>IF(ISNUMBER(NºAsuntos!G14/NºAsuntos!E14),NºAsuntos!G14/NºAsuntos!E14," - ")</f>
        <v>1.1384615384615384</v>
      </c>
      <c r="AM14" s="1171">
        <f>IF(ISNUMBER(((NºAsuntos!I14/NºAsuntos!G14)*11)/factor_trimestre),((NºAsuntos!I14/NºAsuntos!G14)*11)/factor_trimestre," - ")</f>
        <v>2.6486486486486487</v>
      </c>
      <c r="AN14" s="1172">
        <f>IF(ISNUMBER('Resol  Asuntos'!D14/NºAsuntos!G14),'Resol  Asuntos'!D14/NºAsuntos!G14," - ")</f>
        <v>0.14864864864864866</v>
      </c>
      <c r="AO14" s="1173">
        <f>IF(ISNUMBER((NºAsuntos!C14+NºAsuntos!E14)/NºAsuntos!G14),(NºAsuntos!C14+NºAsuntos!E14)/NºAsuntos!G14," - ")</f>
        <v>2.3243243243243241</v>
      </c>
      <c r="AP14" s="1174" t="str">
        <f t="shared" si="2"/>
        <v xml:space="preserve"> - </v>
      </c>
      <c r="AQ14" s="1174" t="str">
        <f>IF(ISNUMBER((H14-W14+K14)/(F14)),(H14-W14+K14)/(F14)," - ")</f>
        <v xml:space="preserve"> - </v>
      </c>
      <c r="AR14" s="1175">
        <f>IF(ISNUMBER((Datos!P14-Datos!Q14)/(Datos!R14-Datos!P14+Datos!Q14)),(Datos!P14-Datos!Q14)/(Datos!R14-Datos!P14+Datos!Q14)," - ")</f>
        <v>-6.7010309278350513E-2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114</v>
      </c>
      <c r="G17" s="373">
        <f>IF(ISNUMBER(IF(D_I="SI",Datos!I17,Datos!I17+Datos!AC17)),IF(D_I="SI",Datos!I17,Datos!I17+Datos!AC17)," - ")</f>
        <v>114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78</v>
      </c>
      <c r="X17" s="240">
        <f>IF(ISNUMBER(Datos!Q17),Datos!Q17," - ")</f>
        <v>5</v>
      </c>
      <c r="Y17" s="374">
        <f t="shared" ref="Y17:Y22" si="9">SUM(W17:X17)</f>
        <v>83</v>
      </c>
      <c r="Z17" s="375" t="str">
        <f>IF(ISNUMBER(Datos!CC17),Datos!CC17," - ")</f>
        <v xml:space="preserve"> - </v>
      </c>
      <c r="AA17" s="372">
        <f>IF(ISNUMBER(IF(D_I="SI",Datos!L17,Datos!L17+Datos!AF17)),IF(D_I="SI",Datos!L17,Datos!L17+Datos!AF17)," - ")</f>
        <v>120</v>
      </c>
      <c r="AB17" s="374">
        <f>IF(ISNUMBER(Datos!R17),Datos!R17," - ")</f>
        <v>18</v>
      </c>
      <c r="AC17" s="374">
        <f t="shared" si="8"/>
        <v>138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v>
      </c>
      <c r="AJ17" s="245" t="str">
        <f>IF(ISNUMBER(Datos!BW17),Datos!BW17," - ")</f>
        <v xml:space="preserve"> - </v>
      </c>
      <c r="AK17" s="246" t="str">
        <f>IF(ISNUMBER(Datos!BX17),Datos!BX17," - ")</f>
        <v xml:space="preserve"> - </v>
      </c>
      <c r="AL17" s="266">
        <f>IF(ISNUMBER(NºAsuntos!G17/NºAsuntos!E17),NºAsuntos!G17/NºAsuntos!E17," - ")</f>
        <v>0.9285714285714286</v>
      </c>
      <c r="AM17" s="284">
        <f>IF(ISNUMBER(((NºAsuntos!I17/NºAsuntos!G17)*11)/factor_trimestre),((NºAsuntos!I17/NºAsuntos!G17)*11)/factor_trimestre," - ")</f>
        <v>3.0769230769230771</v>
      </c>
      <c r="AN17" s="267">
        <f>IF(ISNUMBER('Resol  Asuntos'!D17/NºAsuntos!G17),'Resol  Asuntos'!D17/NºAsuntos!G17," - ")</f>
        <v>0.10256410256410256</v>
      </c>
      <c r="AO17" s="268">
        <f>IF(ISNUMBER((NºAsuntos!C17+NºAsuntos!E17)/NºAsuntos!G17),(NºAsuntos!C17+NºAsuntos!E17)/NºAsuntos!G17," - ")</f>
        <v>2.5384615384615383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v>
      </c>
      <c r="X18" s="240">
        <f>IF(ISNUMBER(Datos!Q18),Datos!Q18," - ")</f>
        <v>0</v>
      </c>
      <c r="Y18" s="374">
        <f t="shared" si="9"/>
        <v>3</v>
      </c>
      <c r="Z18" s="375" t="str">
        <f>IF(ISNUMBER(Datos!CC18),Datos!CC18," - ")</f>
        <v xml:space="preserve"> - </v>
      </c>
      <c r="AA18" s="372">
        <f>IF(ISNUMBER(Datos!L18),Datos!L18,"-")</f>
        <v>1</v>
      </c>
      <c r="AB18" s="374">
        <f>IF(ISNUMBER(Datos!R18),Datos!R18," - ")</f>
        <v>0</v>
      </c>
      <c r="AC18" s="374">
        <f t="shared" si="8"/>
        <v>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1.5</v>
      </c>
      <c r="AM18" s="284">
        <f>IF(ISNUMBER(((NºAsuntos!I18/NºAsuntos!G18)*11)/factor_trimestre),((NºAsuntos!I18/NºAsuntos!G18)*11)/factor_trimestre," - ")</f>
        <v>0.66666666666666663</v>
      </c>
      <c r="AN18" s="267">
        <f>IF(ISNUMBER('Resol  Asuntos'!D18/NºAsuntos!G18),'Resol  Asuntos'!D18/NºAsuntos!G18," - ")</f>
        <v>0</v>
      </c>
      <c r="AO18" s="268">
        <f>IF(ISNUMBER((NºAsuntos!C18+NºAsuntos!E18)/NºAsuntos!G18),(NºAsuntos!C18+NºAsuntos!E18)/NºAsuntos!G18," - ")</f>
        <v>1.3333333333333333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114</v>
      </c>
      <c r="G23" s="1163">
        <f>SUBTOTAL(9,G16:G22)</f>
        <v>116</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81</v>
      </c>
      <c r="X23" s="1164">
        <f t="shared" si="14"/>
        <v>5</v>
      </c>
      <c r="Y23" s="1165">
        <f t="shared" si="14"/>
        <v>86</v>
      </c>
      <c r="Z23" s="1165">
        <f t="shared" si="14"/>
        <v>0</v>
      </c>
      <c r="AA23" s="1165">
        <f t="shared" si="14"/>
        <v>121</v>
      </c>
      <c r="AB23" s="1165">
        <f t="shared" si="14"/>
        <v>18</v>
      </c>
      <c r="AC23" s="1165">
        <f t="shared" si="14"/>
        <v>139</v>
      </c>
      <c r="AD23" s="1165">
        <f t="shared" si="14"/>
        <v>0</v>
      </c>
      <c r="AE23" s="1169">
        <f t="shared" si="14"/>
        <v>0</v>
      </c>
      <c r="AF23" s="1162">
        <f t="shared" si="14"/>
        <v>0</v>
      </c>
      <c r="AG23" s="1170">
        <f t="shared" si="14"/>
        <v>0</v>
      </c>
      <c r="AH23" s="1167">
        <f t="shared" si="14"/>
        <v>0</v>
      </c>
      <c r="AI23" s="1162">
        <f t="shared" si="14"/>
        <v>8</v>
      </c>
      <c r="AJ23" s="1164">
        <f t="shared" si="14"/>
        <v>0</v>
      </c>
      <c r="AK23" s="1167">
        <f t="shared" si="14"/>
        <v>0</v>
      </c>
      <c r="AL23" s="1171">
        <f>IF(ISNUMBER(NºAsuntos!G23/NºAsuntos!E23),NºAsuntos!G23/NºAsuntos!E23," - ")</f>
        <v>0.94186046511627908</v>
      </c>
      <c r="AM23" s="1171">
        <f>IF(ISNUMBER(((NºAsuntos!I23/NºAsuntos!G23)*11)/factor_trimestre),((NºAsuntos!I23/NºAsuntos!G23)*11)/factor_trimestre," - ")</f>
        <v>2.9876543209876543</v>
      </c>
      <c r="AN23" s="1172">
        <f>IF(ISNUMBER('Resol  Asuntos'!D23/NºAsuntos!G23),'Resol  Asuntos'!D23/NºAsuntos!G23," - ")</f>
        <v>9.8765432098765427E-2</v>
      </c>
      <c r="AO23" s="1173">
        <f>IF(ISNUMBER((NºAsuntos!C23+NºAsuntos!E23)/NºAsuntos!G23),(NºAsuntos!C23+NºAsuntos!E23)/NºAsuntos!G23," - ")</f>
        <v>2.4938271604938271</v>
      </c>
      <c r="AP23" s="1174" t="str">
        <f t="shared" si="2"/>
        <v xml:space="preserve"> - </v>
      </c>
      <c r="AQ23" s="1174">
        <f>IF(ISNUMBER((H23-W23+K23)/(F23)),(H23-W23+K23)/(F23)," - ")</f>
        <v>-0.71052631578947367</v>
      </c>
      <c r="AR23" s="1175">
        <f>IF(ISNUMBER((Datos!P23-Datos!Q23)/(Datos!R23-Datos!P23+Datos!Q23)),(Datos!P23-Datos!Q23)/(Datos!R23-Datos!P23+Datos!Q23)," - ")</f>
        <v>-0.18181818181818182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114</v>
      </c>
      <c r="G31" s="1118">
        <f t="shared" si="20"/>
        <v>116</v>
      </c>
      <c r="H31" s="1117">
        <f t="shared" si="20"/>
        <v>0</v>
      </c>
      <c r="I31" s="1119">
        <f t="shared" si="20"/>
        <v>0</v>
      </c>
      <c r="J31" s="1119">
        <f t="shared" si="20"/>
        <v>0</v>
      </c>
      <c r="K31" s="1180">
        <f t="shared" si="20"/>
        <v>0</v>
      </c>
      <c r="L31" s="1119">
        <f t="shared" si="20"/>
        <v>17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81</v>
      </c>
      <c r="X31" s="1118">
        <f t="shared" si="21"/>
        <v>34</v>
      </c>
      <c r="Y31" s="1125">
        <f t="shared" si="21"/>
        <v>115</v>
      </c>
      <c r="Z31" s="1125">
        <f t="shared" si="21"/>
        <v>0</v>
      </c>
      <c r="AA31" s="1125">
        <f t="shared" si="21"/>
        <v>122</v>
      </c>
      <c r="AB31" s="1125">
        <f t="shared" si="21"/>
        <v>199</v>
      </c>
      <c r="AC31" s="1125">
        <f t="shared" si="21"/>
        <v>140</v>
      </c>
      <c r="AD31" s="1125">
        <f t="shared" si="21"/>
        <v>0</v>
      </c>
      <c r="AE31" s="1127">
        <f t="shared" si="21"/>
        <v>0</v>
      </c>
      <c r="AF31" s="1128">
        <f t="shared" si="21"/>
        <v>0</v>
      </c>
      <c r="AG31" s="1129">
        <f t="shared" si="21"/>
        <v>0</v>
      </c>
      <c r="AH31" s="1127">
        <f t="shared" si="21"/>
        <v>0</v>
      </c>
      <c r="AI31" s="1117">
        <f t="shared" si="21"/>
        <v>19</v>
      </c>
      <c r="AJ31" s="1117">
        <f t="shared" si="21"/>
        <v>0</v>
      </c>
      <c r="AK31" s="1127">
        <f t="shared" si="21"/>
        <v>0</v>
      </c>
      <c r="AL31" s="1183">
        <f>IF(ISNUMBER(NºAsuntos!G31/NºAsuntos!E31),NºAsuntos!G31/NºAsuntos!E31," - ")</f>
        <v>1.0264900662251655</v>
      </c>
      <c r="AM31" s="1184">
        <f>IF(ISNUMBER(((NºAsuntos!I31/NºAsuntos!G31)*11)/factor_trimestre),((NºAsuntos!I31/NºAsuntos!G31)*11)/factor_trimestre," - ")</f>
        <v>2.8258064516129031</v>
      </c>
      <c r="AN31" s="1184">
        <f>IF(ISNUMBER('Resol  Asuntos'!D31/NºAsuntos!G31),'Resol  Asuntos'!D31/NºAsuntos!G31," - ")</f>
        <v>0.12258064516129032</v>
      </c>
      <c r="AO31" s="1185">
        <f>IF(ISNUMBER((NºAsuntos!C31+NºAsuntos!E31)/NºAsuntos!G31),(NºAsuntos!C31+NºAsuntos!E31)/NºAsuntos!G31," - ")</f>
        <v>2.4129032258064518</v>
      </c>
      <c r="AP31" s="1186" t="str">
        <f t="shared" si="2"/>
        <v xml:space="preserve"> - </v>
      </c>
      <c r="AQ31" s="1187">
        <f>IF(OR(ISNUMBER(FIND("01",Criterios!A8,1)),ISNUMBER(FIND("02",Criterios!A8,1)),ISNUMBER(FIND("03",Criterios!A8,1)),ISNUMBER(FIND("04",Criterios!A8,1))),(I31-W31+K31)/(F31-K31),(H31-W31+K31)/(F31-K31))</f>
        <v>-0.71052631578947367</v>
      </c>
      <c r="AR31" s="1188">
        <f>IF(ISNUMBER((Datos!P31-Datos!Q31)/(Datos!R31-Datos!P31+Datos!Q31)),(Datos!P31-Datos!Q31)/(Datos!R31-Datos!P31+Datos!Q31)," - ")</f>
        <v>-7.8703703703703706E-2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33.142857142857146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58.869346862352735</v>
      </c>
      <c r="G33" s="277">
        <f>IF(ISNUMBER(STDEV(G8:G30)),STDEV(G8:G30),"-")</f>
        <v>55.926822936847792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38.524574717222478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5.2030211004212328</v>
      </c>
      <c r="AJ33" s="276">
        <f t="shared" si="25"/>
        <v>0</v>
      </c>
      <c r="AK33" s="278">
        <f t="shared" si="25"/>
        <v>0</v>
      </c>
      <c r="AL33" s="273">
        <f t="shared" si="25"/>
        <v>0.50663196759787943</v>
      </c>
      <c r="AM33" s="274">
        <f t="shared" si="25"/>
        <v>0.98981674219194604</v>
      </c>
      <c r="AN33" s="274">
        <f t="shared" si="25"/>
        <v>6.0706473486046367E-2</v>
      </c>
      <c r="AO33" s="275">
        <f t="shared" si="25"/>
        <v>0.49490837109597074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24lG+Scs/W6AiCQrh3wswKU2w/JL5Br8C1PqsHhp4KAceOCfgxvfAVOW4Qpxv6vFjVviTLyP0FTXM4F/j2xw==" saltValue="wRolePYqitrRWl3jiILg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CISTIERNA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-0.54166666666666663</v>
      </c>
      <c r="I12" s="395">
        <f>IF(ISNUMBER((Tasas!C12-Datos!BE12)/Datos!BE12),(Tasas!C12-Datos!BE12)/Datos!BE12," - ")</f>
        <v>-0.167088963963964</v>
      </c>
      <c r="J12" s="394">
        <f>IF(ISNUMBER((Tasas!D12-Datos!BF12)/Datos!BF12),(Tasas!D12-Datos!BF12)/Datos!BF12," - ")</f>
        <v>0.13344594594594594</v>
      </c>
      <c r="K12" s="396">
        <f>IF(ISNUMBER((Tasas!E12-Datos!BG12)/Datos!BG12),(Tasas!E12-Datos!BG12)/Datos!BG12," - ")</f>
        <v>-0.10216904802892057</v>
      </c>
      <c r="M12" t="e">
        <f>IF(Monitorios="SI",Datos!CE12,0)</f>
        <v>#REF!</v>
      </c>
      <c r="N12" t="e">
        <f>IF(Monitorios="SI",Datos!CF12,0)</f>
        <v>#REF!</v>
      </c>
      <c r="O12" t="e">
        <f>IF(Monitorios="SI",Datos!CG12,0)</f>
        <v>#REF!</v>
      </c>
      <c r="P12" t="e">
        <f>IF(Monitorios="SI",Datos!CH12,0)</f>
        <v>#REF!</v>
      </c>
      <c r="Q12">
        <f>IF(J_V="SI",0,Datos!AG12)</f>
        <v>6</v>
      </c>
      <c r="R12">
        <f>IF(J_V="SI",0,Datos!AH12)</f>
        <v>3</v>
      </c>
      <c r="S12">
        <f>IF(J_V="SI",0,Datos!AI12)</f>
        <v>4</v>
      </c>
      <c r="T12">
        <f>IF(J_V="SI",0,Datos!AJ12)</f>
        <v>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-0.54166666666666663</v>
      </c>
      <c r="I14" s="402">
        <f>IF(ISNUMBER((Tasas!C14-Datos!BE14)/Datos!BE14),(Tasas!C14-Datos!BE14)/Datos!BE14," - ")</f>
        <v>-0.15850225225225223</v>
      </c>
      <c r="J14" s="400">
        <f>IF(ISNUMBER((Tasas!D14-Datos!BF14)/Datos!BF14),(Tasas!D14-Datos!BF14)/Datos!BF14," - ")</f>
        <v>0.13344594594594594</v>
      </c>
      <c r="K14" s="403">
        <f>IF(ISNUMBER((Tasas!E14-Datos!BG14)/Datos!BG14),(Tasas!E14-Datos!BG14)/Datos!BG14," - ")</f>
        <v>-9.6918574625581067E-2</v>
      </c>
      <c r="M14" t="e">
        <f>IF(Monitorios="SI",Datos!CE14,0)</f>
        <v>#REF!</v>
      </c>
      <c r="N14" t="e">
        <f>IF(Monitorios="SI",Datos!CF14,0)</f>
        <v>#REF!</v>
      </c>
      <c r="O14" t="e">
        <f>IF(Monitorios="SI",Datos!CG14,0)</f>
        <v>#REF!</v>
      </c>
      <c r="P14" t="e">
        <f>IF(Monitorios="SI",Datos!CH14,0)</f>
        <v>#REF!</v>
      </c>
      <c r="Q14">
        <f>IF(J_V="SI",0,Datos!AG14)</f>
        <v>6</v>
      </c>
      <c r="R14">
        <f>IF(J_V="SI",0,Datos!AH14)</f>
        <v>3</v>
      </c>
      <c r="S14">
        <f>IF(J_V="SI",0,Datos!AI14)</f>
        <v>4</v>
      </c>
      <c r="T14">
        <f>IF(J_V="SI",0,Datos!AJ14)</f>
        <v>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0.12871287128712872</v>
      </c>
      <c r="E17" s="393">
        <f>IF(ISNUMBER(
   IF(D_I="SI",(Datos!J17-Datos!T17)/Datos!T17,(Datos!J17+Datos!AD17-(Datos!T17+Datos!AL17))/(Datos!T17+Datos!AL17))
     ),IF(D_I="SI",(Datos!J17-Datos!T17)/Datos!T17,(Datos!J17+Datos!AD17-(Datos!T17+Datos!AL17))/(Datos!T17+Datos!AL17))," - ")</f>
        <v>0.6470588235294118</v>
      </c>
      <c r="F17" s="393">
        <f>IF(ISNUMBER(
   IF(D_I="SI",(Datos!K17-Datos!U17)/Datos!U17,(Datos!K17+Datos!AE17-(Datos!U17+Datos!AM17))/(Datos!U17+Datos!AM17))
     ),IF(D_I="SI",(Datos!K17-Datos!U17)/Datos!U17,(Datos!K17+Datos!AE17-(Datos!U17+Datos!AM17))/(Datos!U17+Datos!AM17))," - ")</f>
        <v>0.95</v>
      </c>
      <c r="G17" s="394">
        <f>IF(ISNUMBER(
   IF(D_I="SI",(Datos!L17-Datos!V17)/Datos!V17,(Datos!L17+Datos!AF17-(Datos!V17+Datos!AN17))/(Datos!V17+Datos!AN17))
     ),IF(D_I="SI",(Datos!L17-Datos!V17)/Datos!V17,(Datos!L17+Datos!AF17-(Datos!V17+Datos!AN17))/(Datos!V17+Datos!AN17))," - ")</f>
        <v>7.1428571428571425E-2</v>
      </c>
      <c r="H17" s="244">
        <f>IF(ISNUMBER((Datos!M17-Datos!W17)/Datos!W17),(Datos!M17-Datos!W17)/Datos!W17," - ")</f>
        <v>-0.42857142857142855</v>
      </c>
      <c r="I17" s="395">
        <f>IF(ISNUMBER((Tasas!C17-Datos!BE17)/Datos!BE17),(Tasas!C17-Datos!BE17)/Datos!BE17," - ")</f>
        <v>-0.4505494505494505</v>
      </c>
      <c r="J17" s="394">
        <f>IF(ISNUMBER((Tasas!D17-Datos!BF17)/Datos!BF17),(Tasas!D17-Datos!BF17)/Datos!BF17," - ")</f>
        <v>-0.706959706959707</v>
      </c>
      <c r="K17" s="396">
        <f>IF(ISNUMBER((Tasas!E17-Datos!BG17)/Datos!BG17),(Tasas!E17-Datos!BG17)/Datos!BG17," - ")</f>
        <v>-0.33198380566801622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v>
      </c>
      <c r="E18" s="393">
        <f>IF(ISNUMBER(
   IF(D_I="SI",(Datos!J18-Datos!T18)/Datos!T18,(Datos!J18+Datos!AD18-(Datos!T18+Datos!AL18))/(Datos!T18+Datos!AL18))
     ),IF(D_I="SI",(Datos!J18-Datos!T18)/Datos!T18,(Datos!J18+Datos!AD18-(Datos!T18+Datos!AL18))/(Datos!T18+Datos!AL18))," - ")</f>
        <v>0</v>
      </c>
      <c r="F18" s="393" t="str">
        <f>IF(ISNUMBER(
   IF(D_I="SI",(Datos!K18-Datos!U18)/Datos!U18,(Datos!K18+Datos!AE18-(Datos!U18+Datos!AM18))/(Datos!U18+Datos!AM18))
     ),IF(D_I="SI",(Datos!K18-Datos!U18)/Datos!U18,(Datos!K18+Datos!AE18-(Datos!U18+Datos!AM18))/(Datos!U18+Datos!AM18))," - ")</f>
        <v xml:space="preserve"> - </v>
      </c>
      <c r="G18" s="394">
        <f>IF(ISNUMBER(
   IF(D_I="SI",(Datos!L18-Datos!V18)/Datos!V18,(Datos!L18+Datos!AF18-(Datos!V18+Datos!AN18))/(Datos!V18+Datos!AN18))
     ),IF(D_I="SI",(Datos!L18-Datos!V18)/Datos!V18,(Datos!L18+Datos!AF18-(Datos!V18+Datos!AN18))/(Datos!V18+Datos!AN18))," - ")</f>
        <v>-0.75</v>
      </c>
      <c r="H18" s="244" t="str">
        <f>IF(ISNUMBER((Datos!M18-Datos!W18)/Datos!W18),(Datos!M18-Datos!W18)/Datos!W18," - ")</f>
        <v xml:space="preserve"> - </v>
      </c>
      <c r="I18" s="395" t="str">
        <f>IF(ISNUMBER((Tasas!C18-Datos!BE18)/Datos!BE18),(Tasas!C18-Datos!BE18)/Datos!BE18," - ")</f>
        <v xml:space="preserve"> - </v>
      </c>
      <c r="J18" s="394" t="str">
        <f>IF(ISNUMBER((Tasas!D18-Datos!BF18)/Datos!BF18),(Tasas!D18-Datos!BF18)/Datos!BF18," - ")</f>
        <v xml:space="preserve"> - </v>
      </c>
      <c r="K18" s="396" t="str">
        <f>IF(ISNUMBER((Tasas!E18-Datos!BG18)/Datos!BG18),(Tasas!E18-Datos!BG18)/Datos!BG18," - ")</f>
        <v xml:space="preserve"> - </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0.12621359223300971</v>
      </c>
      <c r="E23" s="399">
        <f>IF(ISNUMBER(
   IF(D_I="SI",(Datos!J23-Datos!T23)/Datos!T23,(Datos!J23+Datos!AD23-(Datos!T23+Datos!AL23))/(Datos!T23+Datos!AL23))
     ),IF(D_I="SI",(Datos!J23-Datos!T23)/Datos!T23,(Datos!J23+Datos!AD23-(Datos!T23+Datos!AL23))/(Datos!T23+Datos!AL23))," - ")</f>
        <v>0.62264150943396224</v>
      </c>
      <c r="F23" s="399">
        <f>IF(ISNUMBER(
   IF(D_I="SI",(Datos!K23-Datos!U23)/Datos!U23,(Datos!K23+Datos!AE23-(Datos!U23+Datos!AM23))/(Datos!U23+Datos!AM23))
     ),IF(D_I="SI",(Datos!K23-Datos!U23)/Datos!U23,(Datos!K23+Datos!AE23-(Datos!U23+Datos!AM23))/(Datos!U23+Datos!AM23))," - ")</f>
        <v>1.0249999999999999</v>
      </c>
      <c r="G23" s="400">
        <f>IF(ISNUMBER(
   IF(D_I="SI",(Datos!L23-Datos!V23)/Datos!V23,(Datos!L23+Datos!AF23-(Datos!V23+Datos!AN23))/(Datos!V23+Datos!AN23))
     ),IF(D_I="SI",(Datos!L23-Datos!V23)/Datos!V23,(Datos!L23+Datos!AF23-(Datos!V23+Datos!AN23))/(Datos!V23+Datos!AN23))," - ")</f>
        <v>4.3103448275862072E-2</v>
      </c>
      <c r="H23" s="401">
        <f>IF(ISNUMBER((Datos!M23-Datos!W23)/Datos!W23),(Datos!M23-Datos!W23)/Datos!W23," - ")</f>
        <v>-0.42857142857142855</v>
      </c>
      <c r="I23" s="402">
        <f>IF(ISNUMBER((Tasas!C23-Datos!BE23)/Datos!BE23),(Tasas!C23-Datos!BE23)/Datos!BE23," - ")</f>
        <v>-0.4848871860366113</v>
      </c>
      <c r="J23" s="400">
        <f>IF(ISNUMBER((Tasas!D23-Datos!BF23)/Datos!BF23),(Tasas!D23-Datos!BF23)/Datos!BF23," - ")</f>
        <v>-0.7178130511463845</v>
      </c>
      <c r="K23" s="403">
        <f>IF(ISNUMBER((Tasas!E23-Datos!BG23)/Datos!BG23),(Tasas!E23-Datos!BG23)/Datos!BG23," - ")</f>
        <v>-0.36055713833491609</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0.10945273631840796</v>
      </c>
      <c r="E31" s="409">
        <f>IF(ISNUMBER(
   IF(J_V="SI",(Datos!J31-Datos!T31)/Datos!T31,(Datos!J31+Datos!Z31-(Datos!T31+Datos!AH31))/(Datos!T31+Datos!AH31))
     ),IF(J_V="SI",(Datos!J31-Datos!T31)/Datos!T31,(Datos!J31+Datos!Z31-(Datos!T31+Datos!AH31))/(Datos!T31+Datos!AH31))," - ")</f>
        <v>0.3482142857142857</v>
      </c>
      <c r="F31" s="409">
        <f>IF(ISNUMBER(
   IF(J_V="SI",(Datos!K31-Datos!U31)/Datos!U31,(Datos!K31+Datos!AA31-(Datos!U31+Datos!AI31))/(Datos!U31+Datos!AI31))
     ),IF(J_V="SI",(Datos!K31-Datos!U31)/Datos!U31,(Datos!K31+Datos!AA31-(Datos!U31+Datos!AI31))/(Datos!U31+Datos!AI31))," - ")</f>
        <v>0.53465346534653468</v>
      </c>
      <c r="G31" s="410">
        <f>IF(ISNUMBER(
   IF(J_V="SI",(Datos!L31-Datos!V31)/Datos!V31,(Datos!L31+Datos!AB31-(Datos!V31+Datos!AJ31))/(Datos!V31+Datos!AJ31))
     ),IF(J_V="SI",(Datos!L31-Datos!V31)/Datos!V31,(Datos!L31+Datos!AB31-(Datos!V31+Datos!AJ31))/(Datos!V31+Datos!AJ31))," - ")</f>
        <v>3.3018867924528301E-2</v>
      </c>
      <c r="H31" s="411">
        <f>IF(ISNUMBER((Datos!M31-Datos!W31)/Datos!W31),(Datos!M31-Datos!W31)/Datos!W31," - ")</f>
        <v>-0.5</v>
      </c>
      <c r="I31" s="408">
        <f>IF(ISNUMBER((Tasas!C31-Datos!BE31)/Datos!BE31),(Tasas!C31-Datos!BE31)/Datos!BE31," - ")</f>
        <v>-0.32687157638466224</v>
      </c>
      <c r="J31" s="409">
        <f>IF(ISNUMBER((Tasas!D31-Datos!BF31)/Datos!BF31),(Tasas!D31-Datos!BF31)/Datos!BF31," - ")</f>
        <v>-0.4372434017595308</v>
      </c>
      <c r="K31" s="410">
        <f>IF(ISNUMBER((Tasas!E31-Datos!BG31)/Datos!BG31),(Tasas!E31-Datos!BG31)/Datos!BG31," - ")</f>
        <v>-0.2213954447078223</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7.3601540399559323E-2</v>
      </c>
      <c r="E33" s="303">
        <f t="shared" si="1"/>
        <v>0.36673418520892054</v>
      </c>
      <c r="F33" s="303">
        <f t="shared" si="1"/>
        <v>5.3033008588991036E-2</v>
      </c>
      <c r="G33" s="304">
        <f t="shared" si="1"/>
        <v>0.46629037630855852</v>
      </c>
      <c r="H33" s="310">
        <f t="shared" si="1"/>
        <v>6.5295566158350193E-2</v>
      </c>
      <c r="I33" s="302">
        <f t="shared" si="1"/>
        <v>0.17663924161476841</v>
      </c>
      <c r="J33" s="303">
        <f t="shared" si="1"/>
        <v>0.48836162132625222</v>
      </c>
      <c r="K33" s="304">
        <f t="shared" si="1"/>
        <v>0.14294060129155711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UBy++KTFkLhVa8GgsLYRc+CwR704VVAWX8+dF+RLbbAR1jyytlCaLigR92bgcDez7pt6HHIsMNMugBzXLz9cA==" saltValue="wfYCLMAbfZI4JVVjpQi7r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2023-05-06T00:40:55Z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